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cYgRF0aIZmQWzjkYSWYluLx2EH7O7I8+kcRr2dw+ug6BFbNvH7RJvZzzvJohbbrCV/pSb57UPvFQMH8R9V+iJA==" workbookSaltValue="TK0uzwkKARChoF/At1Jdp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B13" i="2"/>
  <c r="A14" i="2"/>
  <c r="A15" i="2"/>
  <c r="B15" i="2"/>
  <c r="A16" i="2"/>
  <c r="B16" i="2"/>
  <c r="A17" i="2"/>
  <c r="B17" i="2"/>
  <c r="A18" i="2"/>
  <c r="A19" i="2"/>
  <c r="A20" i="2"/>
  <c r="A21" i="2"/>
  <c r="A23" i="2"/>
  <c r="O25" i="11"/>
  <c r="O26" i="11"/>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R8" i="9"/>
  <c r="X12" i="21" s="1"/>
  <c r="EP19" i="8"/>
  <c r="ER19" i="13"/>
  <c r="AL13" i="16"/>
  <c r="AJ13" i="16"/>
  <c r="EP19" i="19"/>
  <c r="BH17" i="16"/>
  <c r="BL17" i="11"/>
  <c r="S13" i="16"/>
  <c r="P13" i="16"/>
  <c r="AM13" i="20"/>
  <c r="K18" i="2"/>
  <c r="M13" i="2"/>
  <c r="M18" i="2"/>
  <c r="N13" i="2"/>
  <c r="N18" i="2"/>
  <c r="T13" i="12"/>
  <c r="V11" i="11"/>
  <c r="BI15" i="11"/>
  <c r="BG15" i="11"/>
  <c r="AP17" i="20"/>
  <c r="BU10" i="17"/>
  <c r="BW11" i="20"/>
  <c r="V12" i="16"/>
  <c r="BV9" i="16"/>
  <c r="T13" i="16"/>
  <c r="AA17" i="16"/>
  <c r="T16" i="11"/>
  <c r="Q17" i="17"/>
  <c r="BI9" i="11"/>
  <c r="S10" i="17"/>
  <c r="Q15" i="17"/>
  <c r="BF15" i="11"/>
  <c r="AQ12" i="21"/>
  <c r="BJ16" i="11"/>
  <c r="BL16" i="11"/>
  <c r="T13" i="20"/>
  <c r="BF15" i="8"/>
  <c r="BF9" i="8"/>
  <c r="L10" i="2"/>
  <c r="AU18" i="21"/>
  <c r="AH13" i="16"/>
  <c r="L15" i="2"/>
  <c r="L16" i="2"/>
  <c r="X10" i="21"/>
  <c r="U9" i="17"/>
  <c r="U19" i="17" s="1"/>
  <c r="L9" i="2"/>
  <c r="AP13" i="16"/>
  <c r="V9" i="16"/>
  <c r="T18" i="17"/>
  <c r="BG15" i="13"/>
  <c r="BE16" i="13"/>
  <c r="BE15" i="13"/>
  <c r="AX20" i="20"/>
  <c r="B18" i="7" l="1"/>
  <c r="S19" i="8"/>
  <c r="AB13" i="21"/>
  <c r="AB19" i="21" s="1"/>
  <c r="BG10" i="8"/>
  <c r="T9" i="11"/>
  <c r="V10" i="16"/>
  <c r="X15" i="16"/>
  <c r="X18" i="16" s="1"/>
  <c r="L17" i="2"/>
  <c r="L12" i="2"/>
  <c r="S16" i="17"/>
  <c r="S15" i="17"/>
  <c r="BK10" i="11"/>
  <c r="BH12" i="16"/>
  <c r="BH16" i="11"/>
  <c r="BM17" i="11"/>
  <c r="BH10" i="16"/>
  <c r="AQ10" i="21"/>
  <c r="BH10" i="11"/>
  <c r="BG12" i="11"/>
  <c r="AZ12" i="11"/>
  <c r="BU16" i="17"/>
  <c r="BW10" i="20"/>
  <c r="BW12" i="20"/>
  <c r="BU11" i="17"/>
  <c r="BK17" i="11"/>
  <c r="BJ12" i="11"/>
  <c r="BM12" i="11"/>
  <c r="BF10" i="11"/>
  <c r="BM16" i="11"/>
  <c r="BH11" i="16"/>
  <c r="AL16" i="11"/>
  <c r="C16" i="6"/>
  <c r="BE9" i="13"/>
  <c r="BM9" i="11"/>
  <c r="S17" i="17"/>
  <c r="BG16" i="11"/>
  <c r="BH11" i="11"/>
  <c r="BK16" i="11"/>
  <c r="BJ10" i="11"/>
  <c r="BL10" i="11"/>
  <c r="BL15" i="11"/>
  <c r="BF12" i="11"/>
  <c r="P15" i="17"/>
  <c r="S15" i="16"/>
  <c r="X17" i="17"/>
  <c r="AZ11" i="11"/>
  <c r="AZ16" i="11"/>
  <c r="BU12" i="17"/>
  <c r="S11" i="17"/>
  <c r="BU17" i="17"/>
  <c r="U10" i="17"/>
  <c r="BV11" i="16"/>
  <c r="BV12" i="16"/>
  <c r="BV17" i="16"/>
  <c r="AZ15" i="11"/>
  <c r="AZ18" i="11" s="1"/>
  <c r="AZ9" i="11"/>
  <c r="AZ13" i="11" s="1"/>
  <c r="R17" i="20"/>
  <c r="R18" i="20" s="1"/>
  <c r="AP15" i="20"/>
  <c r="BJ15" i="11"/>
  <c r="BH9" i="11"/>
  <c r="AP10" i="21"/>
  <c r="BK11" i="11"/>
  <c r="X11" i="17"/>
  <c r="BK9" i="11"/>
  <c r="BK12" i="11"/>
  <c r="P17" i="17"/>
  <c r="BG10" i="11"/>
  <c r="BL9" i="11"/>
  <c r="BF11" i="11"/>
  <c r="AZ19" i="11"/>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N19" i="21" s="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V20" i="21"/>
  <c r="U17" i="11"/>
  <c r="T20" i="20"/>
  <c r="O17" i="11"/>
  <c r="AN18" i="11" l="1"/>
  <c r="AI19" i="11"/>
  <c r="AL13" i="11"/>
  <c r="B13" i="6"/>
  <c r="AL19" i="21"/>
  <c r="AO13" i="17"/>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BH20" i="16"/>
  <c r="M20" i="16"/>
  <c r="AO20" i="16"/>
  <c r="E20" i="11"/>
  <c r="AV20" i="17"/>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L20" i="11"/>
  <c r="AJ20" i="21"/>
  <c r="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9" i="8" s="1"/>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A20" i="16"/>
  <c r="Z20" i="17"/>
  <c r="BM19" i="11" l="1"/>
  <c r="BG19" i="11"/>
  <c r="G19" i="3"/>
  <c r="BV21" i="16"/>
  <c r="BV19" i="16"/>
  <c r="Q13" i="11"/>
  <c r="BG19" i="8"/>
  <c r="H19" i="2"/>
  <c r="I19" i="3"/>
  <c r="J19" i="2"/>
  <c r="S19" i="17"/>
  <c r="F19" i="11"/>
  <c r="AQ19" i="11" s="1"/>
  <c r="AQ13" i="11"/>
  <c r="AQ21" i="11" s="1"/>
  <c r="F19" i="17"/>
  <c r="F21" i="16"/>
  <c r="E19" i="6"/>
  <c r="C19" i="6"/>
  <c r="AO19" i="11"/>
  <c r="AM19" i="11"/>
  <c r="B19" i="6"/>
  <c r="H19" i="7" s="1"/>
  <c r="AL19" i="11"/>
  <c r="BL18" i="16"/>
  <c r="F19" i="16"/>
  <c r="E21" i="21"/>
  <c r="E19" i="21"/>
  <c r="AW21" i="20"/>
  <c r="AS21" i="20"/>
  <c r="AR21" i="20" s="1"/>
  <c r="AV21" i="11"/>
  <c r="C19" i="14"/>
  <c r="BF19" i="8"/>
  <c r="AQ19" i="17"/>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<sst xmlns="http://schemas.openxmlformats.org/spreadsheetml/2006/main" count="2102" uniqueCount="918">
  <si>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</si>
  <si>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</si>
  <si>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</si>
  <si>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</si>
  <si>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</si>
  <si>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</si>
  <si>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</si>
  <si>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</si>
  <si>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</si>
  <si>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</si>
  <si>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</si>
  <si>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</si>
  <si>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</si>
  <si>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</si>
  <si>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</si>
  <si>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</si>
  <si>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</si>
  <si>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</si>
  <si>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</si>
  <si>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</si>
  <si>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</si>
  <si>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</si>
  <si>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</si>
  <si>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</si>
  <si>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</si>
  <si>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</si>
  <si>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</si>
  <si>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</si>
  <si>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</si>
  <si>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</si>
  <si>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</si>
  <si>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</si>
  <si>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</si>
  <si>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</si>
  <si>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</si>
  <si>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</si>
  <si>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</si>
  <si>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</si>
  <si>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</si>
  <si>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</si>
  <si>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</si>
  <si>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</si>
  <si>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</si>
  <si>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</si>
  <si>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</si>
  <si>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</si>
  <si>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</si>
  <si>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</si>
  <si>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</si>
  <si>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</si>
  <si>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</si>
  <si>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</si>
  <si>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</si>
  <si>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</si>
  <si>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</si>
  <si>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</si>
  <si>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</si>
  <si>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</si>
  <si>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</si>
  <si>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</si>
  <si>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</si>
  <si>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</si>
  <si>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</si>
  <si>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</si>
  <si>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</si>
  <si>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</si>
  <si>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</si>
  <si>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</si>
  <si>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</si>
  <si>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</si>
  <si>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</si>
  <si>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</si>
  <si>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</si>
  <si>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</si>
  <si>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</si>
  <si>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</si>
  <si>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</si>
  <si>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</si>
  <si>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</si>
  <si>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</si>
  <si>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</si>
  <si>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</si>
  <si>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</si>
  <si>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</si>
  <si>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</si>
  <si>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</si>
  <si>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</si>
  <si>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</si>
  <si>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</si>
  <si>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</si>
  <si>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</si>
  <si>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</si>
  <si>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</si>
  <si>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</si>
  <si>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</si>
  <si>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</si>
  <si>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</si>
  <si>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</si>
  <si>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</si>
  <si>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</si>
  <si>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</si>
  <si>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</si>
  <si>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</si>
  <si>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</si>
  <si>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</si>
  <si>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</si>
  <si>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</si>
  <si>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</si>
  <si>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</si>
  <si>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</si>
  <si>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</si>
  <si>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</si>
  <si>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</si>
  <si>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</si>
  <si>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</si>
  <si>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</si>
  <si>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</si>
  <si>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</si>
  <si>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</si>
  <si>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</si>
  <si>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</si>
  <si>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</si>
  <si>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</si>
  <si>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</si>
  <si>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</si>
  <si>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</si>
  <si>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</si>
  <si>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</si>
  <si>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</si>
  <si>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</si>
  <si>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</si>
  <si>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</si>
  <si>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</si>
  <si>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</si>
  <si>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</si>
  <si>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</si>
  <si>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</si>
  <si>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</si>
  <si>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</si>
  <si>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</si>
  <si>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</si>
  <si>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</si>
  <si>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</si>
  <si>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</si>
  <si>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</si>
  <si>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</si>
  <si>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</si>
  <si>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</si>
  <si>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</si>
  <si>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</si>
  <si>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</si>
  <si>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</si>
  <si>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</si>
  <si>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</si>
  <si>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</si>
  <si>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</si>
  <si>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</si>
  <si>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</si>
  <si>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</si>
  <si>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</si>
  <si>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</si>
  <si>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</si>
  <si>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</si>
  <si>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</si>
  <si>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</si>
  <si>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</si>
  <si>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</si>
  <si>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</si>
  <si>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</si>
  <si>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</si>
  <si>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</si>
  <si>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</si>
  <si>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</si>
  <si>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</si>
  <si>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</si>
  <si>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</si>
  <si>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</si>
  <si>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</si>
  <si>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</si>
  <si>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</si>
  <si>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</si>
  <si>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</si>
  <si>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</si>
  <si>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</si>
  <si>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</si>
  <si>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</si>
  <si>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</si>
  <si>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</si>
  <si>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</si>
  <si>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</si>
  <si>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</si>
  <si>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</si>
  <si>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</si>
  <si>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</si>
  <si>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</si>
  <si>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</si>
  <si>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</si>
  <si>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</si>
  <si>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</si>
  <si>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</si>
  <si>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</si>
  <si>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</si>
  <si>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</si>
  <si>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</si>
  <si>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</si>
  <si>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</si>
  <si>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</si>
  <si>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</si>
  <si>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</si>
  <si>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</si>
  <si>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</si>
  <si>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</si>
  <si>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</si>
  <si>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</si>
  <si>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</si>
  <si>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</si>
  <si>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</si>
  <si>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</si>
  <si>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</si>
  <si>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</si>
  <si>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</si>
  <si>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</si>
  <si>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</si>
  <si>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</si>
  <si>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</si>
  <si>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</si>
  <si>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</si>
  <si>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</si>
  <si>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</si>
  <si>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</si>
  <si>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</si>
  <si>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</si>
  <si>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</si>
  <si>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</si>
  <si>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</si>
  <si>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</si>
  <si>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</si>
  <si>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</si>
  <si>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</si>
  <si>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</si>
  <si>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</si>
  <si>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</si>
  <si>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</si>
  <si>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</si>
  <si>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</si>
  <si>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</si>
  <si>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</si>
  <si>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</si>
  <si>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</si>
  <si>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</si>
  <si>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</si>
  <si>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</si>
  <si>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</si>
  <si>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</si>
  <si>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</si>
  <si>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</si>
  <si>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</si>
  <si>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</si>
  <si>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</si>
  <si>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</si>
  <si>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</si>
  <si>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</si>
  <si>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</si>
  <si>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</si>
  <si>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</si>
  <si>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</si>
  <si>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</si>
  <si>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</si>
  <si>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</si>
  <si>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</si>
  <si>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</si>
  <si>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</si>
  <si>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</si>
  <si>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</si>
  <si>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</si>
  <si>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</si>
  <si>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</si>
  <si>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</si>
  <si>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</si>
  <si>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</si>
  <si>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</si>
  <si>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</si>
  <si>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</si>
  <si>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</si>
  <si>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</si>
  <si>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</si>
  <si>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</si>
  <si>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</si>
  <si>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</si>
  <si>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</si>
  <si>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</si>
  <si>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</si>
  <si>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</si>
  <si>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</si>
  <si>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</si>
  <si>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</si>
  <si>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</si>
  <si>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</si>
  <si>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</si>
  <si>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</si>
  <si>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</si>
  <si>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</si>
  <si>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</si>
  <si>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</si>
  <si>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</si>
  <si>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</si>
  <si>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</si>
  <si>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</si>
  <si>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</si>
  <si>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</si>
  <si>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</si>
  <si>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</si>
  <si>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</si>
  <si>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</si>
  <si>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</si>
  <si>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</si>
  <si>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</si>
  <si>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</si>
  <si>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</si>
  <si>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</si>
  <si>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</si>
  <si>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</si>
  <si>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</si>
  <si>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</si>
  <si>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</si>
  <si>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</si>
  <si>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</si>
  <si>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</si>
  <si>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</si>
  <si>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</si>
  <si>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</si>
  <si>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</si>
  <si>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</si>
  <si>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</si>
  <si>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</si>
  <si>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</si>
  <si>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</si>
  <si>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</si>
  <si>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</si>
  <si>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</si>
  <si>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</si>
  <si>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</si>
  <si>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</si>
  <si>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</si>
  <si>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</si>
  <si>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</si>
  <si>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</si>
  <si>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</si>
  <si>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</si>
  <si>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</si>
  <si>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</si>
  <si>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</si>
  <si>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</si>
  <si>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</si>
  <si>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</si>
  <si>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</si>
  <si>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</si>
  <si>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</si>
  <si>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</si>
  <si>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</si>
  <si>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</si>
  <si>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</si>
  <si>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</si>
  <si>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</si>
  <si>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</si>
  <si>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</si>
  <si>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</si>
  <si>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</si>
  <si>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</si>
  <si>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</si>
  <si>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</si>
  <si>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</si>
  <si>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</si>
  <si>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</si>
  <si>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</si>
  <si>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</si>
  <si>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</si>
  <si>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</si>
  <si>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</si>
  <si>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</si>
  <si>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</si>
  <si>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</si>
  <si>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</si>
  <si>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</si>
  <si>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</si>
  <si>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</si>
  <si>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</si>
  <si>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</si>
  <si>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</si>
  <si>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</si>
  <si>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</si>
  <si>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</si>
  <si>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</si>
  <si>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</si>
  <si>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</si>
  <si>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</si>
  <si>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</si>
  <si>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</si>
  <si>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</si>
  <si>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</si>
  <si>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</si>
  <si>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</si>
  <si>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</si>
  <si>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</si>
  <si>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</si>
  <si>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</si>
  <si>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</si>
  <si>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</si>
  <si>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</si>
  <si>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</si>
  <si>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</si>
  <si>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</si>
  <si>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</si>
  <si>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</si>
  <si>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</si>
  <si>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</si>
  <si>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</si>
  <si>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</si>
  <si>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</si>
  <si>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</si>
  <si>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</si>
  <si>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</si>
  <si>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</si>
  <si>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</si>
  <si>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</si>
  <si>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</si>
  <si>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</si>
  <si>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</si>
  <si>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</si>
  <si>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</si>
  <si>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</si>
  <si>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</si>
  <si>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</si>
  <si>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</si>
  <si>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</si>
  <si>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</si>
  <si>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</si>
  <si>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</si>
  <si>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</si>
  <si>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</si>
  <si>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</si>
  <si>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</si>
  <si>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</si>
  <si>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</si>
  <si>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</si>
  <si>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</si>
  <si>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</si>
  <si>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</si>
  <si>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</si>
  <si>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</si>
  <si>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</si>
  <si>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</si>
  <si>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</si>
  <si>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</si>
  <si>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</si>
  <si>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</si>
  <si>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</si>
  <si>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</si>
  <si>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</si>
  <si>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</si>
  <si>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</si>
  <si>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</si>
  <si>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</si>
  <si>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</si>
  <si>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</si>
  <si>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</si>
  <si>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</si>
  <si>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</si>
  <si>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</si>
  <si>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</si>
  <si>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</si>
  <si>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</si>
  <si>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</si>
  <si>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</si>
  <si>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</si>
  <si>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</si>
  <si>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</si>
  <si>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</si>
  <si>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</si>
  <si>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</si>
  <si>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</si>
  <si>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</si>
  <si>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</si>
  <si>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</si>
  <si>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</si>
  <si>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</si>
  <si>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</si>
  <si>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</si>
  <si>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</si>
  <si>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</si>
  <si>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</si>
  <si>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</si>
  <si>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</si>
  <si>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</si>
  <si>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</si>
  <si>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</si>
  <si>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</si>
  <si>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</si>
  <si>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</si>
  <si>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</si>
  <si>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</si>
  <si>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</si>
  <si>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</si>
  <si>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</si>
  <si>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</si>
  <si>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</si>
  <si>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</si>
  <si>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</si>
  <si>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</si>
  <si>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</si>
  <si>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</si>
  <si>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</si>
  <si>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</si>
  <si>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</si>
  <si>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</si>
  <si>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</si>
  <si>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</si>
  <si>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</si>
  <si>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</si>
  <si>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</si>
  <si>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</si>
  <si>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</si>
  <si>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</si>
  <si>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</si>
  <si>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</si>
  <si>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</si>
  <si>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</si>
  <si>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</si>
  <si>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</si>
  <si>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</si>
  <si>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</si>
  <si>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</si>
  <si>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</si>
  <si>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</si>
  <si>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</si>
  <si>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</si>
  <si>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</si>
  <si>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</si>
  <si>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</si>
  <si>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</si>
  <si>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</si>
  <si>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</si>
  <si>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</si>
  <si>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</si>
  <si>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</si>
  <si>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</si>
  <si>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</si>
  <si>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</si>
  <si>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</si>
  <si>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</si>
  <si>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</si>
  <si>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</si>
  <si>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</si>
  <si>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</si>
  <si>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</si>
  <si>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</si>
  <si>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</si>
  <si>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</si>
  <si>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</si>
  <si>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</si>
  <si>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</si>
  <si>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</si>
  <si>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</si>
  <si>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</si>
  <si>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</si>
  <si>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</si>
  <si>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</si>
  <si>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</si>
  <si>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</si>
  <si>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</si>
  <si>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</si>
  <si>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</si>
  <si>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</si>
  <si>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</si>
  <si>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</si>
  <si>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</si>
  <si>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</si>
  <si>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</si>
  <si>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</si>
  <si>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</si>
  <si>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</si>
  <si>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</si>
  <si>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</si>
  <si>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</si>
  <si>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</si>
  <si>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</si>
  <si>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</si>
  <si>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</si>
  <si>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</si>
  <si>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</si>
  <si>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</si>
  <si>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</si>
  <si>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</si>
  <si>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</si>
  <si>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</si>
  <si>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</si>
  <si>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</si>
  <si>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</si>
  <si>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</si>
  <si>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</si>
  <si>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</si>
  <si>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</si>
  <si>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</si>
  <si>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</si>
  <si>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</si>
  <si>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</si>
  <si>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</si>
  <si>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</si>
  <si>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</si>
  <si>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</si>
  <si>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</si>
  <si>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</si>
  <si>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</si>
  <si>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</si>
  <si>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</si>
  <si>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</si>
  <si>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</si>
  <si>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</si>
  <si>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</si>
  <si>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</si>
  <si>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</si>
  <si>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</si>
  <si>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</si>
  <si>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</si>
  <si>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</si>
  <si>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</si>
  <si>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</si>
  <si>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</si>
  <si>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</si>
  <si>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</si>
  <si>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</si>
  <si>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</si>
  <si>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</si>
  <si>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</si>
  <si>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</si>
  <si>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</si>
  <si>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</si>
  <si>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</si>
  <si>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</si>
  <si>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</si>
  <si>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</si>
  <si>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</si>
  <si>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</si>
  <si>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</si>
  <si>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</si>
  <si>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</si>
  <si>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</si>
  <si>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</si>
  <si>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</si>
  <si>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</si>
  <si>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</si>
  <si>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</si>
  <si>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</si>
  <si>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</si>
  <si>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</si>
  <si>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</si>
  <si>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</si>
  <si>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</si>
  <si>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</si>
  <si>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</si>
  <si>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</si>
  <si>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</si>
  <si>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</si>
  <si>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</si>
  <si>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</si>
  <si>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</si>
  <si>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</si>
  <si>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</si>
  <si>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</si>
  <si>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</si>
  <si>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</si>
  <si>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</si>
  <si>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</si>
  <si>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</si>
  <si>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</si>
  <si>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</si>
  <si>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</si>
  <si>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</si>
  <si>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</si>
  <si>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</si>
  <si>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</si>
  <si>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</si>
  <si>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</si>
  <si>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</si>
  <si>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</si>
  <si>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</si>
  <si>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</si>
  <si>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</si>
  <si>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</si>
  <si>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</si>
  <si>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</si>
  <si>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</si>
  <si>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</si>
  <si>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</si>
  <si>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</si>
  <si>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</si>
  <si>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</si>
  <si>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</si>
  <si>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</si>
  <si>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</si>
  <si>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</si>
  <si>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</si>
  <si>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</si>
  <si>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</si>
  <si>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</si>
  <si>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</si>
  <si>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</si>
  <si>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</si>
  <si>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</si>
  <si>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</si>
  <si>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</si>
  <si>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</si>
  <si>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</si>
  <si>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</si>
  <si>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</si>
  <si>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</si>
  <si>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</si>
  <si>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</si>
  <si>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</si>
  <si>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</si>
  <si>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</si>
  <si>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</si>
  <si>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</si>
  <si>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</si>
  <si>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</si>
  <si>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</si>
  <si>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</si>
  <si>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</si>
  <si>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</si>
  <si>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</si>
  <si>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</si>
  <si>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</si>
  <si>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</si>
  <si>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</si>
  <si>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</si>
  <si>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</si>
  <si>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</si>
  <si>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</si>
  <si>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</si>
  <si>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</si>
  <si>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</si>
  <si>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</si>
  <si>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</si>
  <si>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</si>
  <si>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</si>
  <si>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</si>
  <si>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</si>
  <si>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</si>
  <si>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</si>
  <si>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</si>
  <si>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</si>
  <si>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</si>
  <si>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</si>
  <si>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</si>
  <si>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</si>
  <si>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</si>
  <si>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</si>
  <si>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</si>
  <si>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</si>
  <si>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</si>
  <si>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</si>
  <si>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</si>
  <si>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</si>
  <si>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</si>
  <si>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</si>
  <si>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</si>
  <si>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</si>
  <si>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</si>
  <si>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</si>
  <si>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</si>
  <si>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</si>
  <si>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</si>
  <si>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</si>
  <si>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</si>
  <si>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</si>
  <si>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</si>
  <si>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</si>
  <si>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</si>
  <si>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</si>
  <si>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</si>
  <si>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</si>
  <si>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</si>
  <si>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</si>
  <si>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</si>
  <si>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</si>
  <si>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</si>
  <si>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</si>
  <si>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</si>
  <si>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</si>
  <si>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</si>
  <si>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</si>
  <si>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</si>
  <si>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</si>
  <si>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</si>
  <si>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</si>
  <si>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</si>
  <si>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</si>
  <si>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</si>
  <si>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</si>
  <si>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</si>
  <si>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</si>
  <si>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</si>
  <si>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</si>
  <si>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</si>
  <si>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</si>
  <si>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</si>
  <si>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</si>
  <si>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</si>
  <si>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</si>
  <si>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</si>
  <si>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</si>
  <si>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</si>
  <si>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</si>
  <si>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</si>
  <si>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</si>
  <si>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</si>
  <si>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</si>
  <si>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</si>
  <si>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</si>
  <si>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</si>
  <si>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</si>
  <si>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</si>
  <si>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</si>
  <si>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</si>
  <si>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</si>
  <si>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</si>
  <si>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</si>
  <si>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</si>
  <si>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</si>
  <si>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</si>
  <si>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</si>
  <si>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</si>
  <si>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</si>
  <si>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</si>
  <si>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</si>
  <si>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</si>
  <si>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</si>
  <si>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</si>
  <si>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</si>
  <si>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</si>
  <si>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</si>
  <si>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</si>
  <si>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</si>
  <si>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</si>
  <si>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</si>
  <si>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</si>
  <si>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</si>
  <si>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</si>
  <si>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</si>
  <si>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</si>
  <si>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</si>
  <si>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</si>
  <si>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</si>
  <si>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</si>
  <si>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</si>
  <si>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</si>
  <si>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</si>
  <si>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</si>
  <si>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</si>
  <si>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</si>
  <si>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</si>
  <si>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</si>
  <si>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</si>
  <si>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</si>
  <si>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</si>
  <si>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</si>
  <si>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</si>
  <si>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</si>
  <si>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</si>
  <si>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</si>
  <si>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</si>
  <si>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</si>
  <si>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</si>
  <si>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</si>
  <si>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</si>
  <si>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</si>
  <si>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</si>
  <si>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</si>
  <si>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</si>
  <si>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</si>
  <si>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</si>
  <si>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</si>
  <si>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</si>
  <si>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</si>
  <si>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</si>
  <si>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</si>
  <si>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</si>
  <si>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</si>
  <si>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</si>
  <si>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</si>
  <si>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</si>
  <si>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</si>
  <si>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</si>
  <si>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</si>
  <si>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</si>
  <si>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</si>
  <si>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</si>
  <si>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</si>
  <si>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</si>
  <si>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</si>
  <si>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</si>
  <si>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</si>
  <si>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</si>
  <si>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</si>
  <si>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</si>
  <si>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</si>
  <si>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</si>
  <si>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</si>
  <si>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</si>
  <si>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</si>
  <si>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</si>
  <si>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29 nov. 2024</t>
  </si>
  <si>
    <t>Tribunales de Justicia</t>
  </si>
  <si>
    <t>CASTILLA-LA MANCHA</t>
  </si>
  <si>
    <t>Provincias</t>
  </si>
  <si>
    <t>CUENCA</t>
  </si>
  <si>
    <t>Resumenes por Partidos Judiciales</t>
  </si>
  <si>
    <t>TARANCON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</si>
</sst>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0</v>
      </c>
    </row>
    <row r="5" spans="1:19" ht="15.75" thickBot="1">
      <c r="A5" s="368" t="s">
        <v>37</v>
      </c>
      <c r="B5" s="369">
        <v>2024</v>
      </c>
      <c r="C5" s="370" t="s">
        <v>215</v>
      </c>
      <c r="D5" s="371">
        <v>3</v>
      </c>
      <c r="E5" s="372"/>
      <c r="F5" s="3"/>
      <c r="H5" t="s">
        <v>424</v>
      </c>
      <c r="Q5" s="346">
        <v>3</v>
      </c>
      <c r="R5" s="346">
        <v>2</v>
      </c>
      <c r="S5" t="b">
        <f>AND(Q5&gt;=TrimIni,Q5&lt;=TrimFin)</f>
        <v>1</v>
      </c>
    </row>
    <row r="6" spans="1:19" ht="15">
      <c r="A6" s="373"/>
      <c r="B6" s="372"/>
      <c r="C6" s="370" t="s">
        <v>216</v>
      </c>
      <c r="D6" s="371">
        <v>3</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5.5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nVzPLiOfrysqe1EZJJh9V/MRXbEt9OvX36GYmqGqyBXp7JDbM9t7CL9U2tN2qJZCxCBp7j+OzaO1oV0RJoVGAg==" saltValue="yQfWbenw5fpAuWrHuoa+N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3 al 3</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59</v>
      </c>
      <c r="D10" s="225">
        <f>IF(ISNUMBER(Datos!I10),Datos!I10," - ")</f>
        <v>59</v>
      </c>
      <c r="E10" s="226">
        <f>IF(ISNUMBER(Datos!J10),Datos!J10," - ")</f>
        <v>19</v>
      </c>
      <c r="F10" s="226">
        <f>IF(ISNUMBER(Datos!K10),Datos!K10," - ")</f>
        <v>10</v>
      </c>
      <c r="G10" s="1034" t="str">
        <f>IF(Datos!E10&lt;&gt;"",Datos!E10,Datos!D10)</f>
        <v>37</v>
      </c>
      <c r="H10" s="227">
        <f>IF(ISNUMBER(Datos!L10),Datos!L10," - ")</f>
        <v>68</v>
      </c>
      <c r="I10" s="1044" t="str">
        <f>IF(ISNUMBER(Datos!AS10/Datos!BM10),Datos!AS10/Datos!BM10," - ")</f>
        <v xml:space="preserve"> - </v>
      </c>
      <c r="J10" s="1045">
        <f>IF(ISNUMBER(Datos!BY10/Datos!CN10),Datos!BY10/Datos!CN10," - ")</f>
        <v>0</v>
      </c>
      <c r="K10" s="230">
        <f t="shared" ref="K10:K12" si="1">IF(ISNUMBER((E10-F10)/C10),(E10-F10)/C10," - ")</f>
        <v>0.15254237288135594</v>
      </c>
      <c r="L10" s="1025">
        <f>IF(ISNUMBER(NºAsuntos!I10/NºAsuntos!G10),(NºAsuntos!I10/NºAsuntos!G10)*11," - ")</f>
        <v>74.8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68.359036144578312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59</v>
      </c>
      <c r="D13" s="1049">
        <f>SUBTOTAL(9,D9:D12)</f>
        <v>59</v>
      </c>
      <c r="E13" s="1050">
        <f>SUBTOTAL(9,E9:E12)</f>
        <v>19</v>
      </c>
      <c r="F13" s="1051">
        <f>SUBTOTAL(9,F9:F12)</f>
        <v>10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1809</v>
      </c>
      <c r="D16" s="225">
        <f>IF(ISNUMBER(IF(D_I="SI",Datos!I16,Datos!I16+Datos!AC16)),IF(D_I="SI",Datos!I16,Datos!I16+Datos!AC16)," - ")</f>
        <v>1808</v>
      </c>
      <c r="E16" s="226">
        <f>IF(ISNUMBER(IF(D_I="SI",Datos!J16,Datos!J16+Datos!AD16)),IF(D_I="SI",Datos!J16,Datos!J16+Datos!AD16)," - ")</f>
        <v>510</v>
      </c>
      <c r="F16" s="226">
        <f>IF(ISNUMBER(IF(D_I="SI",Datos!K16,Datos!K16+Datos!AE16)),IF(D_I="SI",Datos!K16,Datos!K16+Datos!AE16)," - ")</f>
        <v>469</v>
      </c>
      <c r="G16" s="1034" t="str">
        <f>IF(Datos!E16&lt;&gt;"",Datos!E16,Datos!D16)</f>
        <v>04</v>
      </c>
      <c r="H16" s="227">
        <f>IF(ISNUMBER(IF(D_I="SI",Datos!L16,Datos!L16+Datos!AF16)),IF(D_I="SI",Datos!L16,Datos!L16+Datos!AF16)," - ")</f>
        <v>1850</v>
      </c>
      <c r="I16" s="1044" t="str">
        <f>IF(ISNUMBER(Datos!AS16/Datos!BM16),Datos!AS16/Datos!BM16," - ")</f>
        <v xml:space="preserve"> - </v>
      </c>
      <c r="J16" s="1045">
        <f>IF(ISNUMBER(Datos!BY16/Datos!CN16),Datos!BY16/Datos!CN16," - ")</f>
        <v>0</v>
      </c>
      <c r="K16" s="230">
        <f t="shared" si="3"/>
        <v>2.2664455500276397E-2</v>
      </c>
      <c r="L16" s="1025">
        <f>IF(ISNUMBER(NºAsuntos!I16/NºAsuntos!G16),(NºAsuntos!I16/NºAsuntos!G16)*11," - ")</f>
        <v>43.390191897654589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90</v>
      </c>
      <c r="D17" s="225">
        <f>IF(ISNUMBER(IF(D_I="SI",Datos!I17,Datos!I17+Datos!AC17)),IF(D_I="SI",Datos!I17,Datos!I17+Datos!AC17)," - ")</f>
        <v>90</v>
      </c>
      <c r="E17" s="226">
        <f>IF(ISNUMBER(IF(D_I="SI",Datos!J17,Datos!J17+Datos!AD17)),IF(D_I="SI",Datos!J17,Datos!J17+Datos!AD17)," - ")</f>
        <v>55</v>
      </c>
      <c r="F17" s="226">
        <f>IF(ISNUMBER(IF(D_I="SI",Datos!K17,Datos!K17+Datos!AE17)),IF(D_I="SI",Datos!K17,Datos!K17+Datos!AE17)," - ")</f>
        <v>40</v>
      </c>
      <c r="G17" s="1034" t="str">
        <f>IF(Datos!E17&lt;&gt;"",Datos!E17,Datos!D17)</f>
        <v>37</v>
      </c>
      <c r="H17" s="227">
        <f>IF(ISNUMBER(IF(D_I="SI",Datos!L17,Datos!L17+Datos!AF17)),IF(D_I="SI",Datos!L17,Datos!L17+Datos!AF17)," - ")</f>
        <v>105</v>
      </c>
      <c r="I17" s="1044" t="str">
        <f>IF(ISNUMBER(Datos!AS17/Datos!BM17),Datos!AS17/Datos!BM17," - ")</f>
        <v xml:space="preserve"> - </v>
      </c>
      <c r="J17" s="1045" t="str">
        <f>IF(ISNUMBER((Datos!BY17+Datos!BZ17)/Datos!CN17),(Datos!BY17+Datos!BZ17)/Datos!CN17," - ")</f>
        <v xml:space="preserve"> - </v>
      </c>
      <c r="K17" s="230">
        <f t="shared" si="3"/>
        <v>0.16666666666666666</v>
      </c>
      <c r="L17" s="1025">
        <f>IF(ISNUMBER(NºAsuntos!I17/NºAsuntos!G17),(NºAsuntos!I17/NºAsuntos!G17)*11," - ")</f>
        <v>28.875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1899</v>
      </c>
      <c r="D18" s="1049">
        <f>SUBTOTAL(9,D15:D17)</f>
        <v>1898</v>
      </c>
      <c r="E18" s="1050">
        <f>SUBTOTAL(9,E15:E17)</f>
        <v>565</v>
      </c>
      <c r="F18" s="1050">
        <f>SUBTOTAL(9,F15:F17)</f>
        <v>509</v>
      </c>
      <c r="G18" s="1052" t="str">
        <f ca="1">INDIRECT(CONCATENATE("G",ROW()-1))</f>
        <v>37</v>
      </c>
      <c r="H18" s="1053">
        <f ca="1">SUMIF(G$14:G17,G18,H$14:H17)</f>
        <v>105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1958</v>
      </c>
      <c r="D19" s="1071">
        <f>SUBTOTAL(9,D9:D18)</f>
        <v>1957</v>
      </c>
      <c r="E19" s="1072">
        <f>SUBTOTAL(9,E9:E18)</f>
        <v>584</v>
      </c>
      <c r="F19" s="1072">
        <f>SUBTOTAL(9,F9:F18)</f>
        <v>519</v>
      </c>
      <c r="G19" s="1073"/>
      <c r="H19" s="1074">
        <f ca="1">SUMIF(B9:B18,"TOTAL",H9:H18)</f>
        <v>105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29 nov.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yMPe7b8ObLU4avllM29KMNJsAJzzfqiT0no+2NT/NGbLL9Mmsc5g0K5VfFd/XrirqQJguIvk8DNgwZuYMmbcWA==" saltValue="GltdxFIXRiFrcR5W19JvE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Yu0xQfJLgfdHU6vWQAaBbtMYshaeQQiTj8ulwyCdMxaBb3zME9760Isbxzun6n2GZN2k2+o9wzJ+kzm1QRdgqw==" saltValue="ww/FpXz1zoprjDSJOuBur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59</v>
      </c>
      <c r="J10" s="181">
        <v>19</v>
      </c>
      <c r="K10" s="181">
        <v>10</v>
      </c>
      <c r="L10" s="181">
        <v>68</v>
      </c>
      <c r="M10" s="181">
        <v>3</v>
      </c>
      <c r="N10" s="181">
        <v>8</v>
      </c>
      <c r="O10" s="181">
        <v>1</v>
      </c>
      <c r="P10" s="181">
        <v>15</v>
      </c>
      <c r="Q10" s="181">
        <v>2</v>
      </c>
      <c r="R10" s="181">
        <v>47</v>
      </c>
      <c r="S10" s="181">
        <v>49</v>
      </c>
      <c r="T10" s="181">
        <v>17</v>
      </c>
      <c r="U10" s="181">
        <v>7</v>
      </c>
      <c r="V10" s="181">
        <v>59</v>
      </c>
      <c r="W10" s="181">
        <v>4</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49</v>
      </c>
      <c r="AZ10" s="129">
        <f t="shared" si="0"/>
        <v>17</v>
      </c>
      <c r="BA10" s="129">
        <f t="shared" si="0"/>
        <v>7</v>
      </c>
      <c r="BB10" s="129">
        <f t="shared" si="0"/>
        <v>59</v>
      </c>
      <c r="BC10" s="125">
        <f t="shared" si="0"/>
        <v>4</v>
      </c>
      <c r="BD10" s="126">
        <f>IF(ISNUMBER(BA10/AZ10),BA10/AZ10," - ")</f>
        <v>0.41176470588235292</v>
      </c>
      <c r="BE10" s="127">
        <f>IF(ISNUMBER(BB10/BA10),BB10/BA10, " - ")</f>
        <v>8.4285714285714288</v>
      </c>
      <c r="BF10" s="127">
        <f>IF(ISNUMBER(BC10/BA10),BC10/BA10, " - ")</f>
        <v>0.5714285714285714</v>
      </c>
      <c r="BG10" s="196">
        <f>IF(ISNUMBER((AY10+AZ10)/BA10),(AY10+AZ10)/BA10," - ")</f>
        <v>9.4285714285714288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2318</v>
      </c>
      <c r="J12" s="183">
        <v>577</v>
      </c>
      <c r="K12" s="183">
        <v>405</v>
      </c>
      <c r="L12" s="183">
        <v>2490</v>
      </c>
      <c r="M12" s="183">
        <v>90</v>
      </c>
      <c r="N12" s="183">
        <v>237</v>
      </c>
      <c r="O12" s="181">
        <v>96</v>
      </c>
      <c r="P12" s="183">
        <v>78</v>
      </c>
      <c r="Q12" s="183">
        <v>15</v>
      </c>
      <c r="R12" s="183">
        <v>2005</v>
      </c>
      <c r="S12" s="183">
        <v>1990</v>
      </c>
      <c r="T12" s="183">
        <v>350</v>
      </c>
      <c r="U12" s="183">
        <v>320</v>
      </c>
      <c r="V12" s="183">
        <v>2020</v>
      </c>
      <c r="W12" s="183">
        <v>76</v>
      </c>
      <c r="X12" s="189">
        <v>125</v>
      </c>
      <c r="Y12" s="191">
        <v>82</v>
      </c>
      <c r="Z12" s="181">
        <v>17</v>
      </c>
      <c r="AA12" s="181">
        <v>10</v>
      </c>
      <c r="AB12" s="181">
        <v>89</v>
      </c>
      <c r="AC12" s="183">
        <v>0</v>
      </c>
      <c r="AD12" s="183">
        <v>0</v>
      </c>
      <c r="AE12" s="183">
        <v>0</v>
      </c>
      <c r="AF12" s="189">
        <v>0</v>
      </c>
      <c r="AG12" s="202">
        <v>74</v>
      </c>
      <c r="AH12" s="183">
        <v>23</v>
      </c>
      <c r="AI12" s="183">
        <v>23</v>
      </c>
      <c r="AJ12" s="203">
        <v>74</v>
      </c>
      <c r="AK12" s="182">
        <v>0</v>
      </c>
      <c r="AL12" s="183">
        <v>0</v>
      </c>
      <c r="AM12" s="183">
        <v>0</v>
      </c>
      <c r="AN12" s="189">
        <v>0</v>
      </c>
      <c r="AO12" s="259">
        <v>2</v>
      </c>
      <c r="AP12" s="155">
        <v>2</v>
      </c>
      <c r="AQ12" s="155">
        <v>2</v>
      </c>
      <c r="AR12" s="154">
        <v>2</v>
      </c>
      <c r="AS12" s="340" t="s">
        <v>802</v>
      </c>
      <c r="AT12" s="203"/>
      <c r="AU12" s="202"/>
      <c r="AV12" s="203"/>
      <c r="AW12" s="202"/>
      <c r="AX12" s="203"/>
      <c r="AY12" s="126">
        <f t="shared" si="1"/>
        <v>2064</v>
      </c>
      <c r="AZ12" s="127">
        <f t="shared" si="1"/>
        <v>373</v>
      </c>
      <c r="BA12" s="127">
        <f t="shared" si="1"/>
        <v>343</v>
      </c>
      <c r="BB12" s="127">
        <f t="shared" si="1"/>
        <v>2094</v>
      </c>
      <c r="BC12" s="125">
        <f>IF(ISNUMBER(X12),X12," - ")</f>
        <v>125</v>
      </c>
      <c r="BD12" s="126">
        <f t="shared" si="2"/>
        <v>0.91957104557640745</v>
      </c>
      <c r="BE12" s="127">
        <f t="shared" si="3"/>
        <v>6.1049562682215743</v>
      </c>
      <c r="BF12" s="127">
        <f t="shared" si="4"/>
        <v>0.36443148688046645</v>
      </c>
      <c r="BG12" s="196">
        <f t="shared" si="5"/>
        <v>7.1049562682215743</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2377</v>
      </c>
      <c r="J13" s="184">
        <f t="shared" si="6"/>
        <v>596</v>
      </c>
      <c r="K13" s="184">
        <f t="shared" si="6"/>
        <v>415</v>
      </c>
      <c r="L13" s="184">
        <f t="shared" si="6"/>
        <v>2558</v>
      </c>
      <c r="M13" s="184">
        <f t="shared" si="6"/>
        <v>93</v>
      </c>
      <c r="N13" s="184">
        <f t="shared" si="6"/>
        <v>245</v>
      </c>
      <c r="O13" s="184">
        <f t="shared" si="6"/>
        <v>97</v>
      </c>
      <c r="P13" s="184">
        <f t="shared" si="6"/>
        <v>93</v>
      </c>
      <c r="Q13" s="184">
        <f t="shared" si="6"/>
        <v>17</v>
      </c>
      <c r="R13" s="184">
        <f t="shared" si="6"/>
        <v>2052</v>
      </c>
      <c r="S13" s="184">
        <f t="shared" si="6"/>
        <v>2039</v>
      </c>
      <c r="T13" s="184">
        <f t="shared" si="6"/>
        <v>367</v>
      </c>
      <c r="U13" s="184">
        <f t="shared" si="6"/>
        <v>327</v>
      </c>
      <c r="V13" s="184">
        <f t="shared" si="6"/>
        <v>2079</v>
      </c>
      <c r="W13" s="184">
        <f t="shared" si="6"/>
        <v>80</v>
      </c>
      <c r="X13" s="184">
        <f t="shared" si="6"/>
        <v>125</v>
      </c>
      <c r="Y13" s="184">
        <f t="shared" si="6"/>
        <v>82</v>
      </c>
      <c r="Z13" s="184">
        <f t="shared" si="6"/>
        <v>17</v>
      </c>
      <c r="AA13" s="184">
        <f t="shared" si="6"/>
        <v>10</v>
      </c>
      <c r="AB13" s="184">
        <f t="shared" si="6"/>
        <v>89</v>
      </c>
      <c r="AC13" s="184">
        <f t="shared" si="6"/>
        <v>0</v>
      </c>
      <c r="AD13" s="184">
        <f t="shared" si="6"/>
        <v>0</v>
      </c>
      <c r="AE13" s="184">
        <f t="shared" si="6"/>
        <v>0</v>
      </c>
      <c r="AF13" s="184">
        <f>SUBTOTAL(9,AF9:AF12)</f>
        <v>0</v>
      </c>
      <c r="AG13" s="184">
        <f t="shared" ref="AG13:AT13" si="7">SUBTOTAL(9,AG8:AG12)</f>
        <v>74</v>
      </c>
      <c r="AH13" s="184">
        <f t="shared" si="7"/>
        <v>23</v>
      </c>
      <c r="AI13" s="184">
        <f t="shared" si="7"/>
        <v>23</v>
      </c>
      <c r="AJ13" s="184">
        <f t="shared" si="7"/>
        <v>74</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2113</v>
      </c>
      <c r="AZ13" s="184">
        <f>SUBTOTAL(9,AZ8:AZ12)</f>
        <v>390</v>
      </c>
      <c r="BA13" s="184">
        <f>SUBTOTAL(9,BA8:BA12)</f>
        <v>350</v>
      </c>
      <c r="BB13" s="184">
        <f>SUBTOTAL(9,BB8:BB12)</f>
        <v>2153</v>
      </c>
      <c r="BC13" s="184">
        <f>SUBTOTAL(9,BC8:BC12)</f>
        <v>129</v>
      </c>
      <c r="BD13" s="205">
        <f>IF(ISNUMBER(BA13/AZ13),BA13/AZ13," - ")</f>
        <v>0.89743589743589747</v>
      </c>
      <c r="BE13" s="206">
        <f>IF(ISNUMBER(BB13/BA13),BB13/BA13, " - ")</f>
        <v>6.1514285714285712</v>
      </c>
      <c r="BF13" s="206">
        <f>IF(ISNUMBER(BC13/BA13),BC13/BA13, " - ")</f>
        <v>0.36857142857142855</v>
      </c>
      <c r="BG13" s="207">
        <f>IF(ISNUMBER((AY13+AZ13)/BA13),(AY13+AZ13)/BA13," - ")</f>
        <v>7.1514285714285712</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1808</v>
      </c>
      <c r="J16" s="183">
        <v>510</v>
      </c>
      <c r="K16" s="183">
        <v>469</v>
      </c>
      <c r="L16" s="183">
        <v>1850</v>
      </c>
      <c r="M16" s="183">
        <v>53</v>
      </c>
      <c r="N16" s="183">
        <v>296</v>
      </c>
      <c r="O16" s="181">
        <v>0</v>
      </c>
      <c r="P16" s="183">
        <v>10</v>
      </c>
      <c r="Q16" s="183">
        <v>2</v>
      </c>
      <c r="R16" s="183">
        <v>148</v>
      </c>
      <c r="S16" s="183">
        <v>1553</v>
      </c>
      <c r="T16" s="183">
        <v>451</v>
      </c>
      <c r="U16" s="183">
        <v>377</v>
      </c>
      <c r="V16" s="183">
        <v>1627</v>
      </c>
      <c r="W16" s="183">
        <v>31</v>
      </c>
      <c r="X16" s="189">
        <v>291</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1553</v>
      </c>
      <c r="AZ16" s="127">
        <f t="shared" si="9"/>
        <v>451</v>
      </c>
      <c r="BA16" s="127">
        <f t="shared" si="9"/>
        <v>377</v>
      </c>
      <c r="BB16" s="127">
        <f t="shared" si="9"/>
        <v>1627</v>
      </c>
      <c r="BC16" s="125">
        <f>IF(ISNUMBER(W16),W16," - ")</f>
        <v>31</v>
      </c>
      <c r="BD16" s="126">
        <f t="shared" ref="BD16" si="11">IF(ISNUMBER(BA16/AZ16),BA16/AZ16," - ")</f>
        <v>0.83592017738359203</v>
      </c>
      <c r="BE16" s="127">
        <f t="shared" ref="BE16" si="12">IF(ISNUMBER(BB16/BA16),BB16/BA16, " - ")</f>
        <v>4.3156498673740051</v>
      </c>
      <c r="BF16" s="127">
        <f t="shared" ref="BF16" si="13">IF(ISNUMBER(BC16/BA16),BC16/BA16, " - ")</f>
        <v>8.2228116710875335E-2</v>
      </c>
      <c r="BG16" s="196">
        <f t="shared" si="10"/>
        <v>5.3156498673740051</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90</v>
      </c>
      <c r="J17" s="183">
        <v>55</v>
      </c>
      <c r="K17" s="183">
        <v>40</v>
      </c>
      <c r="L17" s="183">
        <v>105</v>
      </c>
      <c r="M17" s="183">
        <v>1</v>
      </c>
      <c r="N17" s="183">
        <v>38</v>
      </c>
      <c r="O17" s="183">
        <v>0</v>
      </c>
      <c r="P17" s="183">
        <v>1</v>
      </c>
      <c r="Q17" s="183">
        <v>1</v>
      </c>
      <c r="R17" s="183">
        <v>0</v>
      </c>
      <c r="S17" s="183">
        <v>78</v>
      </c>
      <c r="T17" s="183">
        <v>39</v>
      </c>
      <c r="U17" s="183">
        <v>35</v>
      </c>
      <c r="V17" s="183">
        <v>82</v>
      </c>
      <c r="W17" s="183">
        <v>1</v>
      </c>
      <c r="X17" s="189">
        <v>25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78</v>
      </c>
      <c r="AZ17" s="129">
        <f t="shared" si="14"/>
        <v>39</v>
      </c>
      <c r="BA17" s="129">
        <f t="shared" si="14"/>
        <v>35</v>
      </c>
      <c r="BB17" s="129">
        <f t="shared" si="14"/>
        <v>82</v>
      </c>
      <c r="BC17" s="125">
        <f>IF(ISNUMBER(W17),W17," - ")</f>
        <v>1</v>
      </c>
      <c r="BD17" s="126">
        <f>IF(ISNUMBER(BA17/AZ17),BA17/AZ17," - ")</f>
        <v>0.89743589743589747</v>
      </c>
      <c r="BE17" s="127">
        <f>IF(ISNUMBER(BB17/BA17),BB17/BA17, " - ")</f>
        <v>2.342857142857143</v>
      </c>
      <c r="BF17" s="127">
        <f>IF(ISNUMBER(BC17/BA17),BC17/BA17, " - ")</f>
        <v>2.8571428571428571E-2</v>
      </c>
      <c r="BG17" s="196">
        <f>IF(ISNUMBER((AY17+AZ17)/BA17),(AY17+AZ17)/BA17," - ")</f>
        <v>3.342857142857143</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1898</v>
      </c>
      <c r="J18" s="184">
        <f t="shared" si="15"/>
        <v>565</v>
      </c>
      <c r="K18" s="184">
        <f t="shared" si="15"/>
        <v>509</v>
      </c>
      <c r="L18" s="184">
        <f t="shared" si="15"/>
        <v>1955</v>
      </c>
      <c r="M18" s="184">
        <f t="shared" si="15"/>
        <v>54</v>
      </c>
      <c r="N18" s="184">
        <f t="shared" si="15"/>
        <v>334</v>
      </c>
      <c r="O18" s="184">
        <f t="shared" si="15"/>
        <v>0</v>
      </c>
      <c r="P18" s="184">
        <f t="shared" si="15"/>
        <v>11</v>
      </c>
      <c r="Q18" s="184">
        <f t="shared" si="15"/>
        <v>3</v>
      </c>
      <c r="R18" s="184">
        <f t="shared" si="15"/>
        <v>148</v>
      </c>
      <c r="S18" s="184">
        <f t="shared" si="15"/>
        <v>1631</v>
      </c>
      <c r="T18" s="184">
        <f t="shared" si="15"/>
        <v>490</v>
      </c>
      <c r="U18" s="184">
        <f t="shared" si="15"/>
        <v>412</v>
      </c>
      <c r="V18" s="184">
        <f t="shared" si="15"/>
        <v>1709</v>
      </c>
      <c r="W18" s="184">
        <f t="shared" si="15"/>
        <v>32</v>
      </c>
      <c r="X18" s="184">
        <f t="shared" si="15"/>
        <v>316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1631</v>
      </c>
      <c r="AZ18" s="184">
        <f>SUBTOTAL(9,AZ14:AZ17)</f>
        <v>490</v>
      </c>
      <c r="BA18" s="184">
        <f>SUBTOTAL(9,BA14:BA17)</f>
        <v>412</v>
      </c>
      <c r="BB18" s="184">
        <f>SUBTOTAL(9,BB14:BB17)</f>
        <v>1709</v>
      </c>
      <c r="BC18" s="184">
        <f>SUBTOTAL(9,BC14:BC17)</f>
        <v>32</v>
      </c>
      <c r="BD18" s="205">
        <f>IF(ISNUMBER(BA18/AZ18),BA18/AZ18," - ")</f>
        <v>0.84081632653061222</v>
      </c>
      <c r="BE18" s="206">
        <f>IF(ISNUMBER(BB18/BA18),BB18/BA18, " - ")</f>
        <v>4.1480582524271847</v>
      </c>
      <c r="BF18" s="206">
        <f>IF(ISNUMBER(BC18/BA18),BC18/BA18, " - ")</f>
        <v>7.7669902912621352E-2</v>
      </c>
      <c r="BG18" s="207">
        <f>IF(ISNUMBER((AY18+AZ18)/BA18),(AY18+AZ18)/BA18," - ")</f>
        <v>5.1480582524271847</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4275</v>
      </c>
      <c r="J19" s="134">
        <f t="shared" si="18"/>
        <v>1161</v>
      </c>
      <c r="K19" s="134">
        <f t="shared" si="18"/>
        <v>924</v>
      </c>
      <c r="L19" s="134">
        <f t="shared" si="18"/>
        <v>4513</v>
      </c>
      <c r="M19" s="134">
        <f t="shared" si="18"/>
        <v>147</v>
      </c>
      <c r="N19" s="134">
        <f t="shared" si="18"/>
        <v>579</v>
      </c>
      <c r="O19" s="134">
        <f t="shared" si="18"/>
        <v>97</v>
      </c>
      <c r="P19" s="134">
        <f t="shared" si="18"/>
        <v>104</v>
      </c>
      <c r="Q19" s="134">
        <f t="shared" si="18"/>
        <v>20</v>
      </c>
      <c r="R19" s="134">
        <f t="shared" si="18"/>
        <v>2200</v>
      </c>
      <c r="S19" s="134">
        <f t="shared" si="18"/>
        <v>3670</v>
      </c>
      <c r="T19" s="134">
        <f t="shared" si="18"/>
        <v>857</v>
      </c>
      <c r="U19" s="134">
        <f t="shared" si="18"/>
        <v>739</v>
      </c>
      <c r="V19" s="134">
        <f t="shared" si="18"/>
        <v>3788</v>
      </c>
      <c r="W19" s="134">
        <f t="shared" si="18"/>
        <v>112</v>
      </c>
      <c r="X19" s="134">
        <f t="shared" si="18"/>
        <v>441</v>
      </c>
      <c r="Y19" s="134">
        <f t="shared" si="18"/>
        <v>82</v>
      </c>
      <c r="Z19" s="134">
        <f t="shared" si="18"/>
        <v>17</v>
      </c>
      <c r="AA19" s="134">
        <f t="shared" si="18"/>
        <v>10</v>
      </c>
      <c r="AB19" s="134">
        <f t="shared" si="18"/>
        <v>89</v>
      </c>
      <c r="AC19" s="134">
        <f t="shared" si="18"/>
        <v>0</v>
      </c>
      <c r="AD19" s="134">
        <f t="shared" si="18"/>
        <v>0</v>
      </c>
      <c r="AE19" s="134">
        <f t="shared" si="18"/>
        <v>0</v>
      </c>
      <c r="AF19" s="134">
        <f t="shared" si="18"/>
        <v>0</v>
      </c>
      <c r="AG19" s="134">
        <f t="shared" si="18"/>
        <v>74</v>
      </c>
      <c r="AH19" s="134">
        <f t="shared" si="18"/>
        <v>23</v>
      </c>
      <c r="AI19" s="134">
        <f t="shared" si="18"/>
        <v>23</v>
      </c>
      <c r="AJ19" s="134">
        <f t="shared" si="18"/>
        <v>74</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3744</v>
      </c>
      <c r="AZ19" s="134">
        <f>SUBTOTAL(9,AZ9:AZ18)</f>
        <v>880</v>
      </c>
      <c r="BA19" s="134">
        <f>SUBTOTAL(9,BA9:BA18)</f>
        <v>762</v>
      </c>
      <c r="BB19" s="134">
        <f>SUBTOTAL(9,BB9:BB18)</f>
        <v>3862</v>
      </c>
      <c r="BC19" s="135">
        <f>SUBTOTAL(9,BC9:BC18)</f>
        <v>161</v>
      </c>
      <c r="BD19" s="213">
        <f>IF(ISNUMBER(BA19/AZ19),BA19/AZ19," - ")</f>
        <v>0.86590909090909096</v>
      </c>
      <c r="BE19" s="210">
        <f>IF(ISNUMBER(BB19/BA19),BB19/BA19, " - ")</f>
        <v>5.0682414698162725</v>
      </c>
      <c r="BF19" s="210">
        <f>IF(ISNUMBER(BC19/BA19),BC19/BA19, " - ")</f>
        <v>0.21128608923884515</v>
      </c>
      <c r="BG19" s="135">
        <f>IF(ISNUMBER((AY19+AZ19)/BA19),(AY19+AZ19)/BA19," - ")</f>
        <v>6.0682414698162725</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EoCCW6ysHgDI/GyAiB6Q6EFYIplGkqHjxFAH05xnJnUu3j4REbRhYqacEU6Hr2X9KoBJoPol5DrG8T5HjytBA==" saltValue="hoygh/zOyKcYqGfILtsFk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f1D4L5rBQ8FIqNzBJ/Ofmgn8fhHN/m1oCy1R7oR12jwV7vC2xRmoT5uymKJaZEYWYGjdvyBC7MMtDC9+ZKydg==" saltValue="i5lUrVkzeMx2eGfjVk5Z3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CUENCA  Resumenes por Partidos Judiciales  TARANCON</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3 al 3</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218.18181818181819</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59</v>
      </c>
      <c r="G10" s="333">
        <f>IF(ISNUMBER(Datos!I10),Datos!I10," - ")</f>
        <v>59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15</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10</v>
      </c>
      <c r="AC10" s="226">
        <f>IF(ISNUMBER(Datos!Q10),Datos!Q10," - ")</f>
        <v>2</v>
      </c>
      <c r="AD10" s="334"/>
      <c r="AE10" s="484"/>
      <c r="AF10" s="332">
        <f>IF(ISNUMBER(Datos!L10),Datos!L10,"-")</f>
        <v>68</v>
      </c>
      <c r="AG10" s="334"/>
      <c r="AH10" s="334"/>
      <c r="AI10" s="334"/>
      <c r="AJ10" s="334"/>
      <c r="AK10" s="334"/>
      <c r="AL10" s="479"/>
      <c r="AM10" s="335">
        <f>IF(ISNUMBER(Datos!R10),Datos!R10," - ")</f>
        <v>47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8</v>
      </c>
      <c r="BE10" s="229" t="str">
        <f>IF(ISNUMBER(Datos!BW10),Datos!BW10," - ")</f>
        <v xml:space="preserve"> - </v>
      </c>
      <c r="BF10" s="228" t="str">
        <f>IF(ISNUMBER(Datos!BX10),Datos!BX10," - ")</f>
        <v xml:space="preserve"> - </v>
      </c>
      <c r="BG10" s="243">
        <f>IF(ISNUMBER(Datos!K10/Datos!J10),Datos!K10/Datos!J10," - ")</f>
        <v>0.52631578947368418</v>
      </c>
      <c r="BH10" s="260">
        <f>IF(ISNUMBER(((Datos!L10/Datos!K10)*11)/factor_trimestre),((Datos!L10/Datos!K10)*11)/factor_trimestre," - ")</f>
        <v>13.6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0.38235294117647056</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290.90909090909093</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240.54545454545453</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17</v>
      </c>
      <c r="O12" s="334"/>
      <c r="P12" s="334"/>
      <c r="Q12" s="226">
        <f>IF(ISNUMBER(Datos!P12),Datos!P12,0)</f>
        <v>78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89</v>
      </c>
      <c r="AI12" s="334" t="str">
        <f>IF(ISNUMBER(Datos!CD12),Datos!CD12,"-")</f>
        <v>-</v>
      </c>
      <c r="AJ12" s="334" t="str">
        <f>IF(ISNUMBER(Datos!EN12),Datos!EN12," - ")</f>
        <v xml:space="preserve"> - </v>
      </c>
      <c r="AK12" s="334"/>
      <c r="AL12" s="479"/>
      <c r="AM12" s="335">
        <f>IF(ISNUMBER(Datos!R12),Datos!R12," - ")</f>
        <v>2005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90</v>
      </c>
      <c r="BD12" s="229">
        <f>IF(ISNUMBER(Datos!N12),Datos!N12," - ")</f>
        <v>237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0.69865319865319864</v>
      </c>
      <c r="BH12" s="260">
        <f>IF(ISNUMBER(((IF(J_V="SI",Datos!L12/Datos!K12,(Datos!L12+Datos!AB12)/(Datos!K12+Datos!AA12)))*11)/factor_trimestre),((IF(J_V="SI",Datos!L12/Datos!K12,(Datos!L12+Datos!AB12)/(Datos!K12+Datos!AA12)))*11)/factor_trimestre," - ")</f>
        <v>12.428915662650603</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3.2440782698249231E-2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123.63636363636364</v>
      </c>
      <c r="BZ12" s="1186">
        <f>Datos!EZ12</f>
        <v>0</v>
      </c>
    </row>
    <row r="13" spans="1:78" ht="15.75" thickTop="1" thickBot="1">
      <c r="A13" s="178"/>
      <c r="B13" s="178"/>
      <c r="C13" s="863" t="str">
        <f>Datos!A13</f>
        <v>TOTAL</v>
      </c>
      <c r="D13" s="897"/>
      <c r="E13" s="1164">
        <f t="shared" ref="E13:Z13" si="0">SUBTOTAL(9,E8:E12)</f>
        <v>2</v>
      </c>
      <c r="F13" s="898">
        <f t="shared" si="0"/>
        <v>59</v>
      </c>
      <c r="G13" s="898">
        <f t="shared" si="0"/>
        <v>59</v>
      </c>
      <c r="H13" s="899">
        <f t="shared" si="0"/>
        <v>0</v>
      </c>
      <c r="I13" s="898">
        <f t="shared" si="0"/>
        <v>0</v>
      </c>
      <c r="J13" s="867">
        <f t="shared" si="0"/>
        <v>0</v>
      </c>
      <c r="K13" s="867">
        <f t="shared" si="0"/>
        <v>0</v>
      </c>
      <c r="L13" s="899">
        <f t="shared" si="0"/>
        <v>0</v>
      </c>
      <c r="M13" s="899">
        <f t="shared" si="0"/>
        <v>0</v>
      </c>
      <c r="N13" s="899">
        <f t="shared" si="0"/>
        <v>17</v>
      </c>
      <c r="O13" s="900">
        <f t="shared" si="0"/>
        <v>0</v>
      </c>
      <c r="P13" s="900">
        <f t="shared" si="0"/>
        <v>0</v>
      </c>
      <c r="Q13" s="899">
        <f t="shared" si="0"/>
        <v>93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10</v>
      </c>
      <c r="AC13" s="899">
        <f t="shared" si="1"/>
        <v>17</v>
      </c>
      <c r="AD13" s="899">
        <f t="shared" si="1"/>
        <v>0</v>
      </c>
      <c r="AE13" s="899">
        <f t="shared" si="1"/>
        <v>0</v>
      </c>
      <c r="AF13" s="899">
        <f t="shared" si="1"/>
        <v>68</v>
      </c>
      <c r="AG13" s="899">
        <f t="shared" si="1"/>
        <v>0</v>
      </c>
      <c r="AH13" s="899">
        <f t="shared" si="1"/>
        <v>89</v>
      </c>
      <c r="AI13" s="899">
        <f t="shared" si="1"/>
        <v>0</v>
      </c>
      <c r="AJ13" s="899">
        <f t="shared" si="1"/>
        <v>0</v>
      </c>
      <c r="AK13" s="899">
        <f t="shared" si="1"/>
        <v>0</v>
      </c>
      <c r="AL13" s="899">
        <f t="shared" si="1"/>
        <v>0</v>
      </c>
      <c r="AM13" s="899">
        <f t="shared" si="1"/>
        <v>2052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93</v>
      </c>
      <c r="BD13" s="899">
        <f t="shared" si="1"/>
        <v>245</v>
      </c>
      <c r="BE13" s="899">
        <f t="shared" si="1"/>
        <v>0</v>
      </c>
      <c r="BF13" s="899">
        <f t="shared" si="1"/>
        <v>0</v>
      </c>
      <c r="BG13" s="899">
        <f>IF(ISNUMBER(Datos!K13/Datos!J13),Datos!K13/Datos!J13," - ")</f>
        <v>0.69630872483221473</v>
      </c>
      <c r="BH13" s="903">
        <f>IF(ISNUMBER(((Datos!L13/Datos!K13)*11)/factor_trimestre),((Datos!L13/Datos!K13)*11)/factor_trimestre," - ")</f>
        <v>12.327710843373493</v>
      </c>
      <c r="BI13" s="899">
        <f>IF(ISNUMBER('Resol  Asuntos'!D13/NºAsuntos!G13),'Resol  Asuntos'!D13/NºAsuntos!G13," - ")</f>
        <v>0.21882352941176469</v>
      </c>
      <c r="BJ13" s="899" t="str">
        <f>IF(ISNUMBER(Datos!CI13/Datos!CJ13),Datos!CI13/Datos!CJ13," - ")</f>
        <v xml:space="preserve"> - </v>
      </c>
      <c r="BK13" s="899">
        <f>SUBTOTAL(9,BK8:BK12)</f>
        <v>0</v>
      </c>
      <c r="BL13" s="899">
        <f>IF(ISNUMBER((I13-AB13+L13)/(F13)),(I13-AB13+L13)/(F13)," - ")</f>
        <v>-0.16949152542372881</v>
      </c>
      <c r="BM13" s="904">
        <f>SUBTOTAL(9,BM9:BM12)</f>
        <v>0.4147937238747198</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873.27272727272725</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600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1809</v>
      </c>
      <c r="G16" s="598">
        <f>IF(ISNUMBER(IF(D_I="SI",Datos!I16,Datos!I16+Datos!AC16)),IF(D_I="SI",Datos!I16,Datos!I16+Datos!AC16)," - ")</f>
        <v>1808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469</v>
      </c>
      <c r="AC16" s="226">
        <f>IF(ISNUMBER(Datos!Q16),Datos!Q16," - ")</f>
        <v>2</v>
      </c>
      <c r="AD16" s="334"/>
      <c r="AE16" s="484"/>
      <c r="AF16" s="596">
        <f>IF(ISNUMBER(IF(D_I="SI",Datos!L16,Datos!L16+Datos!AF16)),IF(D_I="SI",Datos!L16,Datos!L16+Datos!AF16)," - ")</f>
        <v>1850</v>
      </c>
      <c r="AG16" s="334"/>
      <c r="AH16" s="334"/>
      <c r="AI16" s="334"/>
      <c r="AJ16" s="334"/>
      <c r="AK16" s="334"/>
      <c r="AL16" s="479"/>
      <c r="AM16" s="335">
        <f>IF(ISNUMBER(Datos!R16),Datos!R16," - ")</f>
        <v>148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53</v>
      </c>
      <c r="BD16" s="229">
        <f>IF(ISNUMBER(Datos!N16),Datos!N16," - ")</f>
        <v>296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0.91960784313725485</v>
      </c>
      <c r="BH16" s="260">
        <f>IF(ISNUMBER(((IF(D_I="SI",Datos!L16/Datos!K16,(Datos!L16+Datos!AF16)/(Datos!K16+Datos!AE16)))*11)/factor_trimestre),((IF(D_I="SI",Datos!L16/Datos!K16,(Datos!L16+Datos!AF16)/(Datos!K16+Datos!AE16)))*11)/factor_trimestre," - ")</f>
        <v>7.889125799573562</v>
      </c>
      <c r="BI16" s="243">
        <f>IF(ISNUMBER('Resol  Asuntos'!D16/NºAsuntos!G16),'Resol  Asuntos'!D16/NºAsuntos!G16," - ")</f>
        <v>0.11300639658848614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181.81818181818181</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90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40</v>
      </c>
      <c r="AC17" s="226">
        <f>IF(ISNUMBER(Datos!Q17),Datos!Q17," - ")</f>
        <v>1</v>
      </c>
      <c r="AD17" s="334"/>
      <c r="AE17" s="484"/>
      <c r="AF17" s="332">
        <f>IF(ISNUMBER(Datos!L17),Datos!L17,"-")</f>
        <v>105</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38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0.72727272727272729</v>
      </c>
      <c r="BH17" s="260">
        <f>IF(ISNUMBER(((IF(D_I="SI",Datos!L17/Datos!K17,(Datos!L17+Datos!AF17)/(Datos!K17+Datos!AE17)))*11)/factor_trimestre),((IF(D_I="SI",Datos!L17/Datos!K17,(Datos!L17+Datos!AF17)/(Datos!K17+Datos!AE17)))*11)/factor_trimestre," - ")</f>
        <v>5.25</v>
      </c>
      <c r="BI17" s="243">
        <f>IF(ISNUMBER('Resol  Asuntos'!D17/NºAsuntos!G17),'Resol  Asuntos'!D17/NºAsuntos!G17," - ")</f>
        <v>2.5000000000000001E-2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290.90909090909093</v>
      </c>
      <c r="BZ17" s="1186">
        <f>Datos!EZ17</f>
        <v>0</v>
      </c>
    </row>
    <row r="18" spans="1:78" ht="15.75" thickTop="1" thickBot="1">
      <c r="A18" s="178"/>
      <c r="B18" s="178"/>
      <c r="C18" s="863" t="str">
        <f>Datos!A18</f>
        <v>TOTAL</v>
      </c>
      <c r="D18" s="897"/>
      <c r="E18" s="1164">
        <f>SUBTOTAL(9,E15:E17)</f>
        <v>2</v>
      </c>
      <c r="F18" s="898">
        <f>SUBTOTAL(9,F15:F17)</f>
        <v>1809</v>
      </c>
      <c r="G18" s="898">
        <f>SUBTOTAL(9,G15:G17)</f>
        <v>1898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509</v>
      </c>
      <c r="AC18" s="899">
        <f t="shared" si="4"/>
        <v>3</v>
      </c>
      <c r="AD18" s="899">
        <f t="shared" si="4"/>
        <v>0</v>
      </c>
      <c r="AE18" s="899">
        <f t="shared" si="4"/>
        <v>0</v>
      </c>
      <c r="AF18" s="899">
        <f t="shared" si="4"/>
        <v>1955</v>
      </c>
      <c r="AG18" s="899">
        <f t="shared" si="4"/>
        <v>0</v>
      </c>
      <c r="AH18" s="899">
        <f t="shared" si="4"/>
        <v>0</v>
      </c>
      <c r="AI18" s="899">
        <f t="shared" si="4"/>
        <v>0</v>
      </c>
      <c r="AJ18" s="899">
        <f t="shared" si="4"/>
        <v>0</v>
      </c>
      <c r="AK18" s="899">
        <f t="shared" si="4"/>
        <v>0</v>
      </c>
      <c r="AL18" s="899">
        <f t="shared" si="4"/>
        <v>0</v>
      </c>
      <c r="AM18" s="899">
        <f t="shared" si="4"/>
        <v>148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54</v>
      </c>
      <c r="BD18" s="899">
        <f t="shared" si="4"/>
        <v>334</v>
      </c>
      <c r="BE18" s="899">
        <f t="shared" si="4"/>
        <v>0</v>
      </c>
      <c r="BF18" s="899">
        <f t="shared" si="4"/>
        <v>0</v>
      </c>
      <c r="BG18" s="899">
        <f>IF(ISNUMBER(Datos!K18/Datos!J18),Datos!K18/Datos!J18," - ")</f>
        <v>0.90088495575221239</v>
      </c>
      <c r="BH18" s="903">
        <f>IF(ISNUMBER(((Datos!L18/Datos!K18)*11)/factor_trimestre),((Datos!L18/Datos!K18)*11)/factor_trimestre," - ")</f>
        <v>7.6817288801571699</v>
      </c>
      <c r="BI18" s="899">
        <f>SUBTOTAL(9,BI15:BI17)</f>
        <v>0.13800639658848615</v>
      </c>
      <c r="BJ18" s="899">
        <f>SUBTOTAL(9,BJ15:BJ17)</f>
        <v>0</v>
      </c>
      <c r="BK18" s="899">
        <f>SUBTOTAL(9,BK15:BK17)</f>
        <v>0</v>
      </c>
      <c r="BL18" s="899">
        <f>IF(ISNUMBER((I18-AB18+L18)/(F18)),(I18-AB18+L18)/(F18)," - ")</f>
        <v>-0.28137092316196793</v>
      </c>
      <c r="BM18" s="905">
        <f>IF(ISNUMBER((Datos!P18-Datos!Q18)/(Datos!R18-Datos!P18+Datos!Q18)),(Datos!P18-Datos!Q18)/(Datos!R18-Datos!P18+Datos!Q18)," - ")</f>
        <v>5.7142857142857141E-2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1072.7272727272727</v>
      </c>
      <c r="BZ18" s="1186"/>
    </row>
    <row r="19" spans="1:78" ht="18.75" customHeight="1" thickTop="1" thickBot="1">
      <c r="A19" s="172"/>
      <c r="B19" s="172"/>
      <c r="C19" s="818" t="str">
        <f>Datos!A19</f>
        <v>TOTAL JURISDICCIONES</v>
      </c>
      <c r="D19" s="818"/>
      <c r="E19" s="1166">
        <f t="shared" ref="E19:R19" si="6">SUBTOTAL(9,E9:E18)</f>
        <v>4</v>
      </c>
      <c r="F19" s="820">
        <f t="shared" si="6"/>
        <v>1868</v>
      </c>
      <c r="G19" s="820">
        <f t="shared" si="6"/>
        <v>1957</v>
      </c>
      <c r="H19" s="822">
        <f t="shared" si="6"/>
        <v>0</v>
      </c>
      <c r="I19" s="820">
        <f t="shared" si="6"/>
        <v>0</v>
      </c>
      <c r="J19" s="822">
        <f t="shared" si="6"/>
        <v>0</v>
      </c>
      <c r="K19" s="822">
        <f t="shared" si="6"/>
        <v>0</v>
      </c>
      <c r="L19" s="881">
        <f t="shared" si="6"/>
        <v>0</v>
      </c>
      <c r="M19" s="881">
        <f t="shared" si="6"/>
        <v>0</v>
      </c>
      <c r="N19" s="881">
        <f t="shared" si="6"/>
        <v>17</v>
      </c>
      <c r="O19" s="881">
        <f t="shared" si="6"/>
        <v>0</v>
      </c>
      <c r="P19" s="881">
        <f t="shared" si="6"/>
        <v>0</v>
      </c>
      <c r="Q19" s="822">
        <f t="shared" si="6"/>
        <v>104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519</v>
      </c>
      <c r="AC19" s="821">
        <f t="shared" si="7"/>
        <v>20</v>
      </c>
      <c r="AD19" s="821">
        <f t="shared" si="7"/>
        <v>0</v>
      </c>
      <c r="AE19" s="821">
        <f t="shared" si="7"/>
        <v>0</v>
      </c>
      <c r="AF19" s="828">
        <f t="shared" si="7"/>
        <v>2023</v>
      </c>
      <c r="AG19" s="828">
        <f t="shared" si="7"/>
        <v>0</v>
      </c>
      <c r="AH19" s="828">
        <f t="shared" si="7"/>
        <v>89</v>
      </c>
      <c r="AI19" s="828">
        <f t="shared" si="7"/>
        <v>0</v>
      </c>
      <c r="AJ19" s="821">
        <f t="shared" si="7"/>
        <v>0</v>
      </c>
      <c r="AK19" s="828">
        <f t="shared" si="7"/>
        <v>0</v>
      </c>
      <c r="AL19" s="828">
        <f t="shared" si="7"/>
        <v>0</v>
      </c>
      <c r="AM19" s="828">
        <f t="shared" si="7"/>
        <v>2200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147</v>
      </c>
      <c r="BD19" s="820">
        <f t="shared" si="7"/>
        <v>579</v>
      </c>
      <c r="BE19" s="820">
        <f t="shared" si="7"/>
        <v>0</v>
      </c>
      <c r="BF19" s="830">
        <f t="shared" si="7"/>
        <v>0</v>
      </c>
      <c r="BG19" s="915">
        <f>IF(ISNUMBER(Datos!K19/Datos!J19),Datos!K19/Datos!J19," - ")</f>
        <v>0.79586563307493541</v>
      </c>
      <c r="BH19" s="915">
        <f>IF(ISNUMBER(((Datos!L19/Datos!K19)*11)/factor_trimestre),((Datos!L19/Datos!K19)*11)/factor_trimestre," - ")</f>
        <v>9.7683982683982684</v>
      </c>
      <c r="BI19" s="813">
        <f>IF(ISNUMBER(Datos!J19/Datos!I19),Datos!J19/Datos!I19," - ")</f>
        <v>0.27157894736842103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-0.27783725910064239</v>
      </c>
      <c r="BM19" s="889">
        <f>IF(ISNUMBER((Datos!P19-Datos!Q19+R19)/(Datos!R19-Datos!P19+Datos!Q19-R19)),(Datos!P19-Datos!Q19+R19)/(Datos!R19-Datos!P19+Datos!Q19-R19)," - ")</f>
        <v>3.9697542533081283E-2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1946</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782.8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1010.3629710818451</v>
      </c>
      <c r="G21" s="552">
        <f>IF(ISNUMBER(STDEV(G8:G18)),STDEV(G8:G18),"-")</f>
        <v>977.55444861143155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257.5622254912393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40.194526990623984</v>
      </c>
      <c r="BD21" s="551"/>
      <c r="BE21" s="551">
        <f>IF(ISNUMBER(STDEV(BE8:BE18)),STDEV(BE8:BE18),"-")</f>
        <v>0</v>
      </c>
      <c r="BF21" s="556">
        <f>IF(ISNUMBER(STDEV(BF8:BF18)),STDEV(BF8:BF18),"-")</f>
        <v>0</v>
      </c>
      <c r="BG21" s="775">
        <f>IF(ISNUMBER(STDEV(BG8:BG18)),STDEV(BG8:BG18),"-")</f>
        <v>0.14659043089785526</v>
      </c>
      <c r="BH21" s="776">
        <f>IF(ISNUMBER(STDEV(BH8:BH18)),STDEV(BH8:BH18),"-")</f>
        <v>3.3632657861604303</v>
      </c>
      <c r="BI21" s="249">
        <f>IF(ISNUMBER(STDEV(BI8:BI18)),STDEV(BI8:BI18),"-")</f>
        <v>7.9810612609243145E-2</v>
      </c>
      <c r="BJ21" s="230" t="str">
        <f>IF(ISNUMBER(BL21/BM21),BL21/BM21," - ")</f>
        <v xml:space="preserve"> - </v>
      </c>
      <c r="BK21" s="575"/>
      <c r="BL21" s="559">
        <f>IF(ISNUMBER(STDEV(BL8:BL18)),STDEV(BL8:BL18),"-")</f>
        <v>7.9110680815775769E-2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337.88694513865602</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29 nov. 2024</v>
      </c>
    </row>
    <row r="32" spans="1:78">
      <c r="C32" s="527"/>
      <c r="D32" s="527"/>
    </row>
  </sheetData>
  <sheetProtection algorithmName="SHA-512" hashValue="c1WFSW5jb5GFOdD6TNVVcpQy92aeibqjoBrceaP/qPFA0BJ9n3PuiiW8H4OfVRG4bAW6ODUN9yGy2KzXWxv8dg==" saltValue="zSvq3kcinbxOK5W2ReHSk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CUENCA  Resumenes por Partidos Judiciales  TARANCON</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3 al 3</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218.18181818181819</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59</v>
      </c>
      <c r="G10" s="225">
        <f>IF(ISNUMBER(Datos!I10),Datos!I10," - ")</f>
        <v>59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15</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10</v>
      </c>
      <c r="Z10" s="619">
        <f>IF(ISNUMBER(Datos!Q10),Datos!Q10," - ")</f>
        <v>2</v>
      </c>
      <c r="AA10" s="332">
        <f>IF(ISNUMBER(Datos!L10),Datos!L10,"-")</f>
        <v>68</v>
      </c>
      <c r="AB10" s="334"/>
      <c r="AC10" s="334"/>
      <c r="AD10" s="484"/>
      <c r="AE10" s="484">
        <f>IF(ISNUMBER(Datos!R10),Datos!R10," - ")</f>
        <v>47</v>
      </c>
      <c r="AF10" s="229" t="str">
        <f>IF(ISNUMBER(Datos!BV10),Datos!BV10," - ")</f>
        <v xml:space="preserve"> - </v>
      </c>
      <c r="AG10" s="225" t="str">
        <f>IF(ISNUMBER(Datos!DV10),Datos!DV10," - ")</f>
        <v xml:space="preserve"> - </v>
      </c>
      <c r="AH10" s="298"/>
      <c r="AI10" s="227"/>
      <c r="AJ10" s="225">
        <f>IF(ISNUMBER(Datos!M10),Datos!M10," - ")</f>
        <v>3</v>
      </c>
      <c r="AK10" s="229">
        <f>IF(ISNUMBER(Datos!N10),Datos!N10," - ")</f>
        <v>8</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13.6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0.38235294117647056</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290.90909090909093</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240.54545454545453</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78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15</v>
      </c>
      <c r="AA12" s="332" t="str">
        <f>IF(ISNUMBER(IF(J_V="SI",Datos!L12,Datos!L12+Datos!AB12)-IF(Monitorios="SI",Datos!CD12,0)),
                          IF(J_V="SI",Datos!L12,Datos!L12+Datos!AB12)-IF(Monitorios="SI",Datos!CD12,0),
                          " - ")</f>
        <v xml:space="preserve"> - </v>
      </c>
      <c r="AB12" s="334"/>
      <c r="AC12" s="334"/>
      <c r="AD12" s="484"/>
      <c r="AE12" s="484">
        <f>IF(ISNUMBER(Datos!R12),Datos!R12," - ")</f>
        <v>2005</v>
      </c>
      <c r="AF12" s="229" t="str">
        <f>IF(ISNUMBER(Datos!BV12),Datos!BV12," - ")</f>
        <v xml:space="preserve"> - </v>
      </c>
      <c r="AG12" s="225" t="str">
        <f>IF(ISNUMBER(Datos!DV12),Datos!DV12," - ")</f>
        <v xml:space="preserve"> - </v>
      </c>
      <c r="AH12" s="298"/>
      <c r="AI12" s="227"/>
      <c r="AJ12" s="225">
        <f>IF(ISNUMBER(Datos!M12),Datos!M12," - ")</f>
        <v>90</v>
      </c>
      <c r="AK12" s="229">
        <f>IF(ISNUMBER(Datos!N12),Datos!N12," - ")</f>
        <v>237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12.428915662650603</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3.2440782698249231E-2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123.63636363636364</v>
      </c>
      <c r="BZ12" s="1186">
        <f>Datos!EZ12</f>
        <v>0</v>
      </c>
    </row>
    <row r="13" spans="1:78" ht="15.75" thickTop="1" thickBot="1">
      <c r="A13" s="178"/>
      <c r="B13" s="178"/>
      <c r="C13" s="863" t="str">
        <f>Datos!A13</f>
        <v>TOTAL</v>
      </c>
      <c r="D13" s="863"/>
      <c r="E13" s="898">
        <f>SUBTOTAL(9,E8:E12)</f>
        <v>2</v>
      </c>
      <c r="F13" s="898">
        <f>SUBTOTAL(9,F8:F12)</f>
        <v>59</v>
      </c>
      <c r="G13" s="898">
        <f>SUBTOTAL(9,G8:G12)</f>
        <v>59</v>
      </c>
      <c r="H13" s="908"/>
      <c r="I13" s="898">
        <f t="shared" ref="I13:N13" si="0">SUBTOTAL(9,I8:I12)</f>
        <v>0</v>
      </c>
      <c r="J13" s="867">
        <f t="shared" si="0"/>
        <v>0</v>
      </c>
      <c r="K13" s="908">
        <f t="shared" si="0"/>
        <v>0</v>
      </c>
      <c r="L13" s="908">
        <f t="shared" si="0"/>
        <v>0</v>
      </c>
      <c r="M13" s="908">
        <f t="shared" si="0"/>
        <v>0</v>
      </c>
      <c r="N13" s="908">
        <f t="shared" si="0"/>
        <v>93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10</v>
      </c>
      <c r="Z13" s="907">
        <f t="shared" si="2"/>
        <v>17</v>
      </c>
      <c r="AA13" s="900">
        <f t="shared" si="2"/>
        <v>68</v>
      </c>
      <c r="AB13" s="900">
        <f t="shared" si="2"/>
        <v>0</v>
      </c>
      <c r="AC13" s="900">
        <f t="shared" si="2"/>
        <v>0</v>
      </c>
      <c r="AD13" s="900">
        <f t="shared" si="2"/>
        <v>0</v>
      </c>
      <c r="AE13" s="900">
        <f t="shared" si="2"/>
        <v>2052</v>
      </c>
      <c r="AF13" s="908">
        <f t="shared" si="2"/>
        <v>0</v>
      </c>
      <c r="AG13" s="908">
        <f t="shared" si="2"/>
        <v>0</v>
      </c>
      <c r="AH13" s="908">
        <f t="shared" si="2"/>
        <v>0</v>
      </c>
      <c r="AI13" s="908">
        <f t="shared" si="2"/>
        <v>0</v>
      </c>
      <c r="AJ13" s="908">
        <f t="shared" si="2"/>
        <v>93</v>
      </c>
      <c r="AK13" s="908">
        <f t="shared" si="2"/>
        <v>245</v>
      </c>
      <c r="AL13" s="908">
        <f t="shared" si="2"/>
        <v>0</v>
      </c>
      <c r="AM13" s="908">
        <f t="shared" si="2"/>
        <v>0</v>
      </c>
      <c r="AN13" s="908">
        <f t="shared" si="2"/>
        <v>0</v>
      </c>
      <c r="AO13" s="904">
        <f>IF(ISNUMBER(((NºAsuntos!I13/NºAsuntos!G13)*11)/factor_trimestre),((NºAsuntos!I13/NºAsuntos!G13)*11)/factor_trimestre," - ")</f>
        <v>12.456470588235295</v>
      </c>
      <c r="AP13" s="910" t="str">
        <f>IF(ISNUMBER(Datos!CI13/Datos!CJ13),Datos!CI13/Datos!CJ13," - ")</f>
        <v xml:space="preserve"> - </v>
      </c>
      <c r="AQ13" s="928">
        <f t="shared" ref="AQ13:AV13" si="3">SUBTOTAL(9,AQ9:AQ12)</f>
        <v>0</v>
      </c>
      <c r="AR13" s="928">
        <f t="shared" si="3"/>
        <v>0.4147937238747198</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600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1809</v>
      </c>
      <c r="G16" s="225">
        <f>IF(ISNUMBER(IF(D_I="SI",Datos!I16,Datos!I16+Datos!AC16)),IF(D_I="SI",Datos!I16,Datos!I16+Datos!AC16)," - ")</f>
        <v>1808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469</v>
      </c>
      <c r="Z16" s="619">
        <f>IF(ISNUMBER(Datos!Q16),Datos!Q16," - ")</f>
        <v>2</v>
      </c>
      <c r="AA16" s="332">
        <f>IF(ISNUMBER(IF(D_I="SI",Datos!L16,Datos!L16+Datos!AF16)),IF(D_I="SI",Datos!L16,Datos!L16+Datos!AF16)," - ")</f>
        <v>1850</v>
      </c>
      <c r="AB16" s="334"/>
      <c r="AC16" s="334"/>
      <c r="AD16" s="484"/>
      <c r="AE16" s="484">
        <f>IF(ISNUMBER(Datos!R16),Datos!R16," - ")</f>
        <v>148</v>
      </c>
      <c r="AF16" s="229" t="str">
        <f>IF(ISNUMBER(Datos!BV16),Datos!BV16," - ")</f>
        <v xml:space="preserve"> - </v>
      </c>
      <c r="AG16" s="225"/>
      <c r="AH16" s="298"/>
      <c r="AI16" s="227"/>
      <c r="AJ16" s="225">
        <f>IF(ISNUMBER(Datos!M16),Datos!M16," - ")</f>
        <v>53</v>
      </c>
      <c r="AK16" s="229">
        <f>IF(ISNUMBER(Datos!N16),Datos!N16," - ")</f>
        <v>296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7.889125799573562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181.81818181818181</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90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40</v>
      </c>
      <c r="Z17" s="619">
        <f>IF(ISNUMBER(Datos!Q17),Datos!Q17," - ")</f>
        <v>1</v>
      </c>
      <c r="AA17" s="332">
        <f>IF(ISNUMBER(Datos!L17),Datos!L17,"-")</f>
        <v>105</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v>
      </c>
      <c r="AK17" s="229">
        <f>IF(ISNUMBER(Datos!N17),Datos!N17," - ")</f>
        <v>38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5.25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290.90909090909093</v>
      </c>
      <c r="BZ17" s="1186">
        <f>Datos!EZ17</f>
        <v>0</v>
      </c>
    </row>
    <row r="18" spans="1:78" ht="15.75" thickTop="1" thickBot="1">
      <c r="A18" s="178"/>
      <c r="B18" s="178"/>
      <c r="C18" s="863" t="str">
        <f>Datos!A18</f>
        <v>TOTAL</v>
      </c>
      <c r="D18" s="863"/>
      <c r="E18" s="1169">
        <f>SUBTOTAL(9,E15:E17)</f>
        <v>2</v>
      </c>
      <c r="F18" s="898">
        <f>SUBTOTAL(9,F15:F17)</f>
        <v>1809</v>
      </c>
      <c r="G18" s="898">
        <f>SUBTOTAL(9,G15:G17)</f>
        <v>1898</v>
      </c>
      <c r="H18" s="932">
        <f>SUBTOTAL(9,H15:H17)</f>
        <v>0</v>
      </c>
      <c r="I18" s="911">
        <f>SUBTOTAL(9,I15:I17)</f>
        <v>0</v>
      </c>
      <c r="J18" s="867">
        <f>SUBTOTAL(9,J14:J17)</f>
        <v>0</v>
      </c>
      <c r="K18" s="932">
        <f t="shared" ref="K18:S18" si="4">SUBTOTAL(9,K15:K17)</f>
        <v>0</v>
      </c>
      <c r="L18" s="932">
        <f t="shared" si="4"/>
        <v>0</v>
      </c>
      <c r="M18" s="932">
        <f t="shared" si="4"/>
        <v>0</v>
      </c>
      <c r="N18" s="932">
        <f t="shared" si="4"/>
        <v>11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509</v>
      </c>
      <c r="Z18" s="932">
        <f t="shared" si="5"/>
        <v>3</v>
      </c>
      <c r="AA18" s="932">
        <f t="shared" si="5"/>
        <v>1955</v>
      </c>
      <c r="AB18" s="932">
        <f t="shared" si="5"/>
        <v>0</v>
      </c>
      <c r="AC18" s="932">
        <f t="shared" si="5"/>
        <v>0</v>
      </c>
      <c r="AD18" s="932">
        <f t="shared" si="5"/>
        <v>0</v>
      </c>
      <c r="AE18" s="932">
        <f t="shared" si="5"/>
        <v>148</v>
      </c>
      <c r="AF18" s="932">
        <f t="shared" si="5"/>
        <v>0</v>
      </c>
      <c r="AG18" s="932">
        <f t="shared" si="5"/>
        <v>0</v>
      </c>
      <c r="AH18" s="932">
        <f t="shared" si="5"/>
        <v>0</v>
      </c>
      <c r="AI18" s="932">
        <f t="shared" si="5"/>
        <v>0</v>
      </c>
      <c r="AJ18" s="932">
        <f t="shared" si="5"/>
        <v>54</v>
      </c>
      <c r="AK18" s="932">
        <f t="shared" si="5"/>
        <v>334</v>
      </c>
      <c r="AL18" s="932">
        <f t="shared" si="5"/>
        <v>0</v>
      </c>
      <c r="AM18" s="932">
        <f t="shared" si="5"/>
        <v>0</v>
      </c>
      <c r="AN18" s="932">
        <f t="shared" si="5"/>
        <v>0</v>
      </c>
      <c r="AO18" s="934">
        <f>IF(ISNUMBER(((NºAsuntos!I18/NºAsuntos!G18)*11)/factor_trimestre),((NºAsuntos!I18/NºAsuntos!G18)*11)/factor_trimestre," - ")</f>
        <v>7.6817288801571699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1868</v>
      </c>
      <c r="G19" s="820">
        <f t="shared" si="7"/>
        <v>1957</v>
      </c>
      <c r="H19" s="821">
        <f t="shared" si="7"/>
        <v>0</v>
      </c>
      <c r="I19" s="820">
        <f t="shared" si="7"/>
        <v>0</v>
      </c>
      <c r="J19" s="822">
        <f t="shared" si="7"/>
        <v>0</v>
      </c>
      <c r="K19" s="820">
        <f t="shared" si="7"/>
        <v>0</v>
      </c>
      <c r="L19" s="823">
        <f t="shared" si="7"/>
        <v>0</v>
      </c>
      <c r="M19" s="820">
        <f t="shared" si="7"/>
        <v>0</v>
      </c>
      <c r="N19" s="821">
        <f t="shared" si="7"/>
        <v>104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519</v>
      </c>
      <c r="Z19" s="827">
        <f t="shared" si="8"/>
        <v>20</v>
      </c>
      <c r="AA19" s="828">
        <f t="shared" si="8"/>
        <v>2023</v>
      </c>
      <c r="AB19" s="828">
        <f t="shared" si="8"/>
        <v>0</v>
      </c>
      <c r="AC19" s="828">
        <f t="shared" si="8"/>
        <v>0</v>
      </c>
      <c r="AD19" s="829">
        <f t="shared" si="8"/>
        <v>0</v>
      </c>
      <c r="AE19" s="829">
        <f t="shared" si="8"/>
        <v>2200</v>
      </c>
      <c r="AF19" s="830">
        <f t="shared" si="8"/>
        <v>0</v>
      </c>
      <c r="AG19" s="831">
        <f t="shared" si="8"/>
        <v>0</v>
      </c>
      <c r="AH19" s="832">
        <f t="shared" si="8"/>
        <v>0</v>
      </c>
      <c r="AI19" s="830">
        <f t="shared" si="8"/>
        <v>0</v>
      </c>
      <c r="AJ19" s="820">
        <f t="shared" si="8"/>
        <v>147</v>
      </c>
      <c r="AK19" s="820">
        <f t="shared" si="8"/>
        <v>579</v>
      </c>
      <c r="AL19" s="820">
        <f t="shared" si="8"/>
        <v>0</v>
      </c>
      <c r="AM19" s="833">
        <f t="shared" si="8"/>
        <v>0</v>
      </c>
      <c r="AN19" s="823">
        <f>IF(ISNUMBER(Datos!K19/Datos!J19),Datos!K19/Datos!J19," - ")</f>
        <v>0.79586563307493541</v>
      </c>
      <c r="AO19" s="823">
        <f>IF(ISNUMBER(FIND("06",Criterios!A8,1)),(IF(ISNUMBER(((Datos!R19/Datos!Q19)*11)/factor_trimestre),((Datos!R19/Datos!Q19)*11)/factor_trimestre," - ")),(IF(ISNUMBER(((Datos!L19/Datos!K19)*11)/factor_trimestre),((Datos!L19/Datos!K19)*11)/factor_trimestre," - ")))</f>
        <v>9.7683982683982684</v>
      </c>
      <c r="AP19" s="834" t="str">
        <f>IF(ISNUMBER(Datos!CI19/Datos!CJ19),Datos!CI19/Datos!CJ19," - ")</f>
        <v xml:space="preserve"> - </v>
      </c>
      <c r="AQ19" s="834">
        <f>IF(OR(ISNUMBER(FIND("01",Criterios!A8,1)),ISNUMBER(FIND("02",Criterios!A8,1)),ISNUMBER(FIND("03",Criterios!A8,1)),ISNUMBER(FIND("04",Criterios!A8,1))),(J19-Y19+K19)/(F19-K19),(I19-Y19+K19)/(F19-K19))</f>
        <v>-0.27783725910064239</v>
      </c>
      <c r="AR19" s="834">
        <f>IF(ISNUMBER((Datos!P19-Datos!Q19+O19)/(Datos!R19-Datos!P19+Datos!Q19-O19)),(Datos!P19-Datos!Q19+O19)/(Datos!R19-Datos!P19+Datos!Q19-O19)," - ")</f>
        <v>3.9697542533081283E-2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782.8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1010.3629710818451</v>
      </c>
      <c r="G21" s="552">
        <f>IF(ISNUMBER(STDEV(G8:G18)),STDEV(G8:G18),"-")</f>
        <v>977.55444861143155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40.194526990623984</v>
      </c>
      <c r="AK21" s="252"/>
      <c r="AL21" s="252">
        <f>IF(ISNUMBER(STDEV(AL8:AL18)),STDEV(AL8:AL18),"-")</f>
        <v>0</v>
      </c>
      <c r="AM21" s="254">
        <f>IF(ISNUMBER(STDEV(AM8:AM18)),STDEV(AM8:AM18),"-")</f>
        <v>0</v>
      </c>
      <c r="AN21" s="539">
        <f>IF(ISNUMBER(STDEV(AN8:AN18)),STDEV(AN8:AN18),"-")</f>
        <v>0</v>
      </c>
      <c r="AO21" s="540">
        <f>IF(ISNUMBER(STDEV(AO8:AO18)),STDEV(AO8:AO18),"-")</f>
        <v>3.382494138389577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153.88167612790645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29 nov. 2024</v>
      </c>
    </row>
    <row r="32" spans="1:78" ht="13.5" thickBot="1">
      <c r="C32" s="536"/>
      <c r="D32" s="527"/>
      <c r="E32" s="527"/>
    </row>
    <row r="33" spans="12:12" ht="15" thickBot="1">
      <c r="L33" s="546"/>
    </row>
  </sheetData>
  <sheetProtection algorithmName="SHA-512" hashValue="/7fUNt1WvkFp+Q86KiKhM2v1Dd+RKGtiIKp6J+ntKOw10sqOdQzL1fp1eRkfPtVzEu0WUYQTDRguaZgTOmCZjg==" saltValue="5AB0bK5t4MkhZm/V4bvnx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3 al 3</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TvVUOPB1eE+X8DbAYn1eulebLT58kg4rt8HbZB4wC4bI8C+iH6/jWakuia98bVhNds/axWeKPiRx2ceOA+HFRg==" saltValue="CX0CwAfcK88xMD91U7hl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7WQHyizKlYeXBvr4niYyDYtkS42afkANu4QZ3CeN1rRJqu2urAccy4umNiWeYj9uutmcSjxOWJief/mEmRatg==" saltValue="8yTjzCbr5tY/g/R0PhVqr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CUENCA  Resumenes por Partidos Judiciales  TARANCON</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3 al 3</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0.21882352941176469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0.15473160153023274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29 nov. 2024</v>
      </c>
    </row>
    <row r="32" spans="1:78">
      <c r="C32" s="774"/>
      <c r="D32" s="774"/>
    </row>
  </sheetData>
  <sheetProtection algorithmName="SHA-512" hashValue="9jS/270jyUzW7REQ5iQCWU9q4/Y++HWeMnJUC6Ajo8uqqAElWtFKesrpVlqfp9DRoPVw706Bhhhh/07eHHASxg==" saltValue="NgU8yhF2JOe6Zgd+jWQ2h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cbzT6RlYcTSNv7Q73VUfEJZ1FqKbsoxc82pGSX+jHNvZTJXyHhCMTzIYr8OqPUha9rqPTKarzkkhDJkGcwuVkg==" saltValue="ZJLd6Ras9+M4Q6l3vJqmw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CUENCA</v>
      </c>
      <c r="D3" s="375"/>
      <c r="E3" s="375"/>
      <c r="F3" s="375"/>
      <c r="BQ3" s="471"/>
    </row>
    <row r="4" spans="1:69" ht="13.5" thickBot="1">
      <c r="A4" s="375"/>
      <c r="B4" s="391" t="str">
        <f>Criterios!A11 &amp;"  "&amp;Criterios!B11</f>
        <v>Resumenes por Partidos Judiciales  TARANCON</v>
      </c>
      <c r="C4" s="375"/>
      <c r="D4" s="375"/>
      <c r="E4" s="375"/>
      <c r="F4" s="375"/>
      <c r="BQ4" s="471"/>
    </row>
    <row r="5" spans="1:69" ht="15.75" customHeight="1">
      <c r="A5" s="1198" t="str">
        <f>"Año:  " &amp;Criterios!B5 &amp; "     Trimestre   " &amp;Criterios!D5 &amp; " al " &amp;Criterios!D6</f>
        <v>Año:  2024     Trimestre   3 al 3</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59</v>
      </c>
      <c r="D10" s="404">
        <f>IF(ISNUMBER(C10/Datos!BH10),C10/Datos!BH10," - ")</f>
        <v>59</v>
      </c>
      <c r="E10" s="403">
        <f>IF(ISNUMBER(Datos!J10),Datos!J10," - ")</f>
        <v>19</v>
      </c>
      <c r="F10" s="404">
        <f>IF(ISNUMBER(E10/B10),E10/B10," - ")</f>
        <v>19</v>
      </c>
      <c r="G10" s="403">
        <f>IF(ISNUMBER(Datos!K10),Datos!K10," - ")</f>
        <v>10</v>
      </c>
      <c r="H10" s="404">
        <f>IF(ISNUMBER(G10/B10),G10/B10," - ")</f>
        <v>10</v>
      </c>
      <c r="I10" s="403">
        <f>IF(ISNUMBER(Datos!L10),Datos!L10," - ")</f>
        <v>68</v>
      </c>
      <c r="J10" s="404">
        <f>IF(ISNUMBER(I10/B10),I10/B10," - ")</f>
        <v>68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2400</v>
      </c>
      <c r="D12" s="404">
        <f>IF(ISNUMBER(C12/Datos!BH12),C12/Datos!BH12," - ")</f>
        <v>1200</v>
      </c>
      <c r="E12" s="403">
        <f>IF(ISNUMBER(IF(J_V="SI",Datos!J12,Datos!J12+Datos!Z12)),IF(J_V="SI",Datos!J12,Datos!J12+Datos!Z12)," - ")</f>
        <v>594</v>
      </c>
      <c r="F12" s="404">
        <f>IF(ISNUMBER(E12/B12),E12/B12," - ")</f>
        <v>297</v>
      </c>
      <c r="G12" s="403">
        <f>IF(ISNUMBER(IF(J_V="SI",Datos!K12,Datos!K12+Datos!AA12)),IF(J_V="SI",Datos!K12,Datos!K12+Datos!AA12)," - ")</f>
        <v>415</v>
      </c>
      <c r="H12" s="404">
        <f>IF(ISNUMBER(G12/B12),G12/B12," - ")</f>
        <v>207.5</v>
      </c>
      <c r="I12" s="403">
        <f>IF(ISNUMBER(IF(J_V="SI",Datos!L12,Datos!L12+Datos!AB12)),IF(J_V="SI",Datos!L12,Datos!L12+Datos!AB12)," - ")</f>
        <v>2579</v>
      </c>
      <c r="J12" s="404">
        <f>IF(ISNUMBER(I12/B12),I12/B12," - ")</f>
        <v>1289.5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2459</v>
      </c>
      <c r="D13" s="850" t="str">
        <f>IF(ISNUMBER(C13/Datos!BI13),C13/Datos!BI13," - ")</f>
        <v xml:space="preserve"> - </v>
      </c>
      <c r="E13" s="849">
        <f>SUBTOTAL(9,E8:E12)</f>
        <v>613</v>
      </c>
      <c r="F13" s="850">
        <f>IF(ISNUMBER(E13/B13),E13/B13," - ")</f>
        <v>306.5</v>
      </c>
      <c r="G13" s="849">
        <f>SUBTOTAL(9,G8:G12)</f>
        <v>425</v>
      </c>
      <c r="H13" s="850">
        <f>IF(ISNUMBER(G13/B13),G13/B13," - ")</f>
        <v>212.5</v>
      </c>
      <c r="I13" s="849">
        <f>SUBTOTAL(9,I8:I12)</f>
        <v>2647</v>
      </c>
      <c r="J13" s="850">
        <f>IF(ISNUMBER(I13/B13),I13/B13," - ")</f>
        <v>1323.5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1808</v>
      </c>
      <c r="D16" s="404">
        <f>IF(ISNUMBER(C16/Datos!BH16),C16/Datos!BH16," - ")</f>
        <v>904</v>
      </c>
      <c r="E16" s="403">
        <f>IF(ISNUMBER(IF(D_I="SI",Datos!J16,Datos!J16+Datos!AD16)),IF(D_I="SI",Datos!J16,Datos!J16+Datos!AD16)," - ")</f>
        <v>510</v>
      </c>
      <c r="F16" s="404">
        <f>IF(ISNUMBER(E16/B16),E16/B16," - ")</f>
        <v>255</v>
      </c>
      <c r="G16" s="403">
        <f>IF(ISNUMBER(IF(D_I="SI",Datos!K16,Datos!K16+Datos!AE16)),IF(D_I="SI",Datos!K16,Datos!K16+Datos!AE16)," - ")</f>
        <v>469</v>
      </c>
      <c r="H16" s="404">
        <f>IF(ISNUMBER(G16/B16),G16/B16," - ")</f>
        <v>234.5</v>
      </c>
      <c r="I16" s="403">
        <f>IF(ISNUMBER(IF(D_I="SI",Datos!L16,Datos!L16+Datos!AF16)),IF(D_I="SI",Datos!L16,Datos!L16+Datos!AF16)," - ")</f>
        <v>1850</v>
      </c>
      <c r="J16" s="404">
        <f>IF(ISNUMBER(I16/B16),I16/B16," - ")</f>
        <v>925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90</v>
      </c>
      <c r="D17" s="404">
        <f>IF(ISNUMBER(C17/Datos!BH17),C17/Datos!BH17," - ")</f>
        <v>90</v>
      </c>
      <c r="E17" s="403">
        <f>IF(ISNUMBER(IF(D_I="SI",Datos!J17,Datos!J17+Datos!AD17)),IF(D_I="SI",Datos!J17,Datos!J17+Datos!AD17)," - ")</f>
        <v>55</v>
      </c>
      <c r="F17" s="404">
        <f>IF(ISNUMBER(E17/B17),E17/B17," - ")</f>
        <v>55</v>
      </c>
      <c r="G17" s="403">
        <f>IF(ISNUMBER(IF(D_I="SI",Datos!K17,Datos!K17+Datos!AE17)),IF(D_I="SI",Datos!K17,Datos!K17+Datos!AE17)," - ")</f>
        <v>40</v>
      </c>
      <c r="H17" s="404">
        <f>IF(ISNUMBER(G17/B17),G17/B17," - ")</f>
        <v>40</v>
      </c>
      <c r="I17" s="403">
        <f>IF(ISNUMBER(IF(D_I="SI",Datos!L17,Datos!L17+Datos!AF17)),IF(D_I="SI",Datos!L17,Datos!L17+Datos!AF17)," - ")</f>
        <v>105</v>
      </c>
      <c r="J17" s="404">
        <f>IF(ISNUMBER(I17/B17),I17/B17," - ")</f>
        <v>105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1898</v>
      </c>
      <c r="D18" s="850" t="str">
        <f>IF(ISNUMBER(C18/Datos!BI18),C18/Datos!BI18," - ")</f>
        <v xml:space="preserve"> - </v>
      </c>
      <c r="E18" s="849">
        <f>SUBTOTAL(9,E14:E17)</f>
        <v>565</v>
      </c>
      <c r="F18" s="850">
        <f>IF(ISNUMBER(E18/B18),E18/B18," - ")</f>
        <v>282.5</v>
      </c>
      <c r="G18" s="849">
        <f>SUBTOTAL(9,G14:G17)</f>
        <v>509</v>
      </c>
      <c r="H18" s="850">
        <f>IF(ISNUMBER(G18/B18),G18/B18," - ")</f>
        <v>254.5</v>
      </c>
      <c r="I18" s="849">
        <f>SUBTOTAL(9,I14:I17)</f>
        <v>1955</v>
      </c>
      <c r="J18" s="850">
        <f>IF(ISNUMBER(I18/B18),I18/B18," - ")</f>
        <v>977.5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4357</v>
      </c>
      <c r="D19" s="795" t="str">
        <f>IF(ISNUMBER(C19/Datos!BI19),C19/Datos!BI19," - ")</f>
        <v xml:space="preserve"> - </v>
      </c>
      <c r="E19" s="794">
        <f>SUBTOTAL(9,E9:E18)</f>
        <v>1178</v>
      </c>
      <c r="F19" s="795">
        <f>IF(ISNUMBER(E19/B19),E19/B19," - ")</f>
        <v>589</v>
      </c>
      <c r="G19" s="794">
        <f>SUBTOTAL(9,G9:G18)</f>
        <v>934</v>
      </c>
      <c r="H19" s="795">
        <f>IF(ISNUMBER(G19/B19),G19/B19," - ")</f>
        <v>467</v>
      </c>
      <c r="I19" s="794">
        <f>SUBTOTAL(9,I9:I18)</f>
        <v>4602</v>
      </c>
      <c r="J19" s="795">
        <f>IF(ISNUMBER(I19/B19),I19/B19," - ")</f>
        <v>2301</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29 nov. 2024</v>
      </c>
    </row>
    <row r="27" spans="1:69">
      <c r="A27" s="414"/>
    </row>
  </sheetData>
  <sheetProtection algorithmName="SHA-512" hashValue="wFCizA2Ipuu2MjEdabg16QsCfxem9EH6Dmw+kxu+rsNmxzr2cM1eRnwKvsPrysMLcQ8hFw3krUYMizwukI9sRg==" saltValue="8H6SBCHMM4GfNOxXZ24mP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CUENCA  Resumenes por Partidos Judiciales  TARANCON</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3 al 3</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59</v>
      </c>
      <c r="G10" s="684">
        <f>IF(ISNUMBER(Datos!I10),Datos!I10," - ")</f>
        <v>59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15</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10</v>
      </c>
      <c r="AC10" s="683" t="str">
        <f>IF(ISNUMBER(IF(D_I="SI",DatosP!K17,DatosP!K17+DatosP!AE17)),IF(D_I="SI",DatosP!K17,DatosP!K17+DatosP!AE17)," - ")</f>
        <v xml:space="preserve"> - </v>
      </c>
      <c r="AD10" s="685"/>
      <c r="AE10" s="685"/>
      <c r="AF10" s="688">
        <f>IF(ISNUMBER(Datos!L10),Datos!L10,"-")</f>
        <v>68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8</v>
      </c>
      <c r="AN10" s="690">
        <f>IF(ISNUMBER(Datos!BW10+DatosP!BW17),Datos!BW10+DatosP!BW17," - ")</f>
        <v>0</v>
      </c>
      <c r="AO10" s="691">
        <f>IF(ISNUMBER(Datos!BX10+DatosP!BX17),Datos!BX10+DatosP!BX17," - ")</f>
        <v>0</v>
      </c>
      <c r="AP10" s="693">
        <f>IF(ISNUMBER(((Datos!L10/Datos!K10)*11)/factor_trimestre),((Datos!L10/Datos!K10)*11)/factor_trimestre," - ")</f>
        <v>13.6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78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2005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90</v>
      </c>
      <c r="AM12" s="690">
        <f>IF(ISNUMBER(Datos!N12+DatosP!N16),Datos!N12+DatosP!N16," - ")</f>
        <v>237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12.428915662650603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3.2440782698249231E-2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59</v>
      </c>
      <c r="G13" s="938">
        <f t="shared" si="0"/>
        <v>59</v>
      </c>
      <c r="H13" s="938">
        <f t="shared" si="0"/>
        <v>0</v>
      </c>
      <c r="I13" s="940">
        <f t="shared" si="0"/>
        <v>0</v>
      </c>
      <c r="J13" s="939">
        <f t="shared" si="0"/>
        <v>0</v>
      </c>
      <c r="K13" s="939">
        <f t="shared" si="0"/>
        <v>0</v>
      </c>
      <c r="L13" s="941">
        <f t="shared" si="0"/>
        <v>0</v>
      </c>
      <c r="M13" s="941">
        <f t="shared" si="0"/>
        <v>0</v>
      </c>
      <c r="N13" s="939">
        <f t="shared" si="0"/>
        <v>93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10</v>
      </c>
      <c r="AC13" s="939">
        <f t="shared" si="1"/>
        <v>0</v>
      </c>
      <c r="AD13" s="939">
        <f t="shared" si="1"/>
        <v>15</v>
      </c>
      <c r="AE13" s="939">
        <f t="shared" si="1"/>
        <v>0</v>
      </c>
      <c r="AF13" s="939">
        <f t="shared" si="1"/>
        <v>68</v>
      </c>
      <c r="AG13" s="939">
        <f t="shared" si="1"/>
        <v>0</v>
      </c>
      <c r="AH13" s="939">
        <f t="shared" si="1"/>
        <v>2005</v>
      </c>
      <c r="AI13" s="939">
        <f t="shared" si="1"/>
        <v>0</v>
      </c>
      <c r="AJ13" s="939">
        <f t="shared" si="1"/>
        <v>0</v>
      </c>
      <c r="AK13" s="939">
        <f t="shared" si="1"/>
        <v>0</v>
      </c>
      <c r="AL13" s="939">
        <f t="shared" si="1"/>
        <v>93</v>
      </c>
      <c r="AM13" s="939">
        <f t="shared" si="1"/>
        <v>245</v>
      </c>
      <c r="AN13" s="939">
        <f t="shared" si="1"/>
        <v>0</v>
      </c>
      <c r="AO13" s="939">
        <f t="shared" si="1"/>
        <v>0</v>
      </c>
      <c r="AP13" s="944">
        <f>IF(ISNUMBER(((Datos!L13/Datos!K13)*11)/factor_trimestre),((Datos!L13/Datos!K13)*11)/factor_trimestre," - ")</f>
        <v>12.327710843373493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-0.16949152542372881</v>
      </c>
      <c r="AU13" s="939" t="str">
        <f>IF(ISNUMBER((DatosP!#REF!-DatosP!#REF!+DatosP!#REF!)/(DatosP!#REF!+DatosP!#REF!-DatosP!#REF!-DatosP!#REF!)),(DatosP!#REF!-DatosP!#REF!+DatosP!#REF!)/(DatosP!#REF!+DatosP!#REF!-DatosP!#REF!-DatosP!#REF!)," - ")</f>
        <v xml:space="preserve"> - </v>
      </c>
      <c r="AV13" s="945">
        <f>SUBTOTAL(9,AV9:AV12)</f>
        <v>3.2440782698249231E-2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7.6817288801571699</v>
      </c>
      <c r="AQ18" s="944">
        <f>IF(ISNUMBER(((Datos!M18/Datos!L18)*11)/factor_trimestre),((Datos!M18/Datos!L18)*11)/factor_trimestre," - ")</f>
        <v>5.5242966751918157E-2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5.7142857142857141E-2</v>
      </c>
      <c r="AW18" s="946">
        <f>IF(ISNUMBER((Datos!Q18-Datos!R18)/(Datos!S18-Datos!Q18+Datos!R18)),(Datos!Q18-Datos!R18)/(Datos!S18-Datos!Q18+Datos!R18)," - ")</f>
        <v>-8.1644144144144143E-2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59</v>
      </c>
      <c r="G19" s="951">
        <f t="shared" si="4"/>
        <v>59</v>
      </c>
      <c r="H19" s="951">
        <f t="shared" si="4"/>
        <v>0</v>
      </c>
      <c r="I19" s="952">
        <f t="shared" si="4"/>
        <v>0</v>
      </c>
      <c r="J19" s="953">
        <f t="shared" si="4"/>
        <v>0</v>
      </c>
      <c r="K19" s="953">
        <f t="shared" si="4"/>
        <v>0</v>
      </c>
      <c r="L19" s="953">
        <f t="shared" si="4"/>
        <v>0</v>
      </c>
      <c r="M19" s="953">
        <f t="shared" si="4"/>
        <v>0</v>
      </c>
      <c r="N19" s="952">
        <f t="shared" si="4"/>
        <v>93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10</v>
      </c>
      <c r="AC19" s="957">
        <f t="shared" si="5"/>
        <v>0</v>
      </c>
      <c r="AD19" s="957">
        <f t="shared" si="5"/>
        <v>15</v>
      </c>
      <c r="AE19" s="957">
        <f t="shared" si="5"/>
        <v>0</v>
      </c>
      <c r="AF19" s="958">
        <f t="shared" si="5"/>
        <v>68</v>
      </c>
      <c r="AG19" s="958">
        <f t="shared" si="5"/>
        <v>0</v>
      </c>
      <c r="AH19" s="958">
        <f t="shared" si="5"/>
        <v>2005</v>
      </c>
      <c r="AI19" s="958">
        <f t="shared" si="5"/>
        <v>0</v>
      </c>
      <c r="AJ19" s="959">
        <f t="shared" si="5"/>
        <v>0</v>
      </c>
      <c r="AK19" s="959">
        <f t="shared" si="5"/>
        <v>0</v>
      </c>
      <c r="AL19" s="951">
        <f t="shared" si="5"/>
        <v>93</v>
      </c>
      <c r="AM19" s="951">
        <f t="shared" si="5"/>
        <v>245</v>
      </c>
      <c r="AN19" s="951">
        <f t="shared" si="5"/>
        <v>0</v>
      </c>
      <c r="AO19" s="951">
        <f t="shared" si="5"/>
        <v>0</v>
      </c>
      <c r="AP19" s="951">
        <f>IF(ISNUMBER(((Datos!L19/Datos!K19)*11)/factor_trimestre),((Datos!L19/Datos!K19)*11)/factor_trimestre," - ")</f>
        <v>9.7683982683982684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-0.16949152542372881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3.9697542533081283E-2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39.333333333333336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34.063665882187919</v>
      </c>
      <c r="G21" s="737">
        <f>IF(ISNUMBER(STDEV(G8:G18)),STDEV(G8:G18),"-")</f>
        <v>34.063665882187919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5.7735026918962573</v>
      </c>
      <c r="AC21" s="738">
        <f>IF(ISNUMBER(STDEV(AC8:AC18)),STDEV(AC8:AC18),"-")</f>
        <v>0</v>
      </c>
      <c r="AD21" s="741"/>
      <c r="AE21" s="741"/>
      <c r="AF21" s="741"/>
      <c r="AG21" s="741"/>
      <c r="AH21" s="741"/>
      <c r="AI21" s="741"/>
      <c r="AJ21" s="742">
        <f>IF(ISNUMBER(STDEV(AJ8:AJ18)),STDEV(AJ8:AJ18),"-")</f>
        <v>0</v>
      </c>
      <c r="AK21" s="744"/>
      <c r="AL21" s="736">
        <f>IF(ISNUMBER(STDEV(AL8:AL18)),STDEV(AL8:AL18),"-")</f>
        <v>51.990383726223833</v>
      </c>
      <c r="AM21" s="736"/>
      <c r="AN21" s="736">
        <f>IF(ISNUMBER(STDEV(AN8:AN18)),STDEV(AN8:AN18),"-")</f>
        <v>0</v>
      </c>
      <c r="AO21" s="742">
        <f>IF(ISNUMBER(STDEV(AO8:AO18)),STDEV(AO8:AO18),"-")</f>
        <v>0</v>
      </c>
      <c r="AP21" s="779">
        <f>IF(ISNUMBER(STDEV(AP8:AP18)),STDEV(AP8:AP18),"-")</f>
        <v>2.6164107800107406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29 nov. 2024</v>
      </c>
      <c r="W30"/>
      <c r="X30"/>
    </row>
    <row r="32" spans="1:78">
      <c r="C32" s="774"/>
      <c r="D32" s="774"/>
      <c r="W32"/>
      <c r="X32"/>
    </row>
  </sheetData>
  <sheetProtection algorithmName="SHA-512" hashValue="GxWkOTlNVTZNu8Se2ANQDGt3WtDH9uczK3aOdBkKDiSUd4z4XaEbXKfaTjmM+Pf4usYnFm78tOk1mu/ZQiChQg==" saltValue="LTeh25A1y5abvkOvoOZk6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CUENCA</v>
      </c>
      <c r="C3" s="415"/>
      <c r="F3" s="375"/>
      <c r="G3" s="375"/>
      <c r="H3" s="375"/>
    </row>
    <row r="4" spans="1:15" ht="13.5" thickBot="1">
      <c r="A4" s="375"/>
      <c r="B4" s="391" t="str">
        <f>Criterios!A11 &amp;"  "&amp;Criterios!B11</f>
        <v>Resumenes por Partidos Judiciales  TARANCON</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29 nov. 2024</v>
      </c>
      <c r="B23" s="391"/>
      <c r="C23" s="391"/>
    </row>
    <row r="27" spans="1:13">
      <c r="A27" s="414"/>
      <c r="B27" s="414"/>
      <c r="C27" s="414"/>
    </row>
  </sheetData>
  <sheetProtection algorithmName="SHA-512" hashValue="sOz2b/5vapVpp18MIWLUEiRwpe/rIhQfqOHbYzqj47TFnRTeehKGJyl0ZervI1/jlKEBiSBeQZoGKU0jQ4cpyw==" saltValue="fxcopYgIeR8ur+EeAeOMp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CUENCA</v>
      </c>
      <c r="C3" s="391"/>
      <c r="D3" s="425"/>
      <c r="BZ3" s="471"/>
    </row>
    <row r="4" spans="1:78" ht="13.5" thickBot="1">
      <c r="B4" s="391" t="str">
        <f>Criterios!A11 &amp;"  "&amp;Criterios!B11</f>
        <v>Resumenes por Partidos Judiciales  TARANCON</v>
      </c>
      <c r="BZ4" s="471"/>
    </row>
    <row r="5" spans="1:78" ht="15.75" customHeight="1">
      <c r="A5" s="1210" t="str">
        <f>"Año:  " &amp;Criterios!B5 &amp; "                  Trimestre   " &amp;Criterios!D5 &amp; " al " &amp;Criterios!D6</f>
        <v>Año:  2024                  Trimestre   3 al 3</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3</v>
      </c>
      <c r="E10" s="404">
        <f>IF(ISNUMBER(D10/B10),D10/B10," - ")</f>
        <v>3</v>
      </c>
      <c r="F10" s="403">
        <f>IF(ISNUMBER(Datos!N10),Datos!N10," - ")</f>
        <v>8</v>
      </c>
      <c r="G10" s="404">
        <f>IF(ISNUMBER(F10/B10),F10/B10," - ")</f>
        <v>8</v>
      </c>
      <c r="H10" s="403">
        <f>IF(ISNUMBER(Datos!O10),Datos!O10," - ")</f>
        <v>1</v>
      </c>
      <c r="I10" s="404">
        <f t="shared" ref="I10:I12" si="2">IF(ISNUMBER(H10/B10),H10/B10," - ")</f>
        <v>1</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90</v>
      </c>
      <c r="E12" s="404">
        <f t="shared" si="0"/>
        <v>45</v>
      </c>
      <c r="F12" s="403">
        <f>IF(ISNUMBER(Datos!N12),Datos!N12," - ")</f>
        <v>237</v>
      </c>
      <c r="G12" s="404">
        <f t="shared" si="1"/>
        <v>118.5</v>
      </c>
      <c r="H12" s="403">
        <f>IF(ISNUMBER(Datos!O12),Datos!O12," - ")</f>
        <v>96</v>
      </c>
      <c r="I12" s="404">
        <f t="shared" si="2"/>
        <v>48</v>
      </c>
      <c r="BZ12" s="1186">
        <f>Datos!EZ12</f>
        <v>0</v>
      </c>
    </row>
    <row r="13" spans="1:78" ht="14.25" thickTop="1" thickBot="1">
      <c r="A13" s="848" t="str">
        <f>Datos!A13</f>
        <v>TOTAL</v>
      </c>
      <c r="B13" s="849">
        <f>Datos!AP13</f>
        <v>2</v>
      </c>
      <c r="C13" s="851">
        <f>Datos!AR13</f>
        <v>2</v>
      </c>
      <c r="D13" s="849">
        <f>SUBTOTAL(9,D9:D12)</f>
        <v>93</v>
      </c>
      <c r="E13" s="850">
        <f t="shared" si="0"/>
        <v>46.5</v>
      </c>
      <c r="F13" s="849">
        <f>SUBTOTAL(9,F9:F12)</f>
        <v>245</v>
      </c>
      <c r="G13" s="850">
        <f t="shared" si="1"/>
        <v>122.5</v>
      </c>
      <c r="H13" s="849">
        <f>SUBTOTAL(9,H9:H12)</f>
        <v>97</v>
      </c>
      <c r="I13" s="850">
        <f>IF(ISNUMBER(H13/B13),H13/B13," - ")</f>
        <v>48.5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53</v>
      </c>
      <c r="E16" s="404">
        <f t="shared" si="3"/>
        <v>26.5</v>
      </c>
      <c r="F16" s="403">
        <f>IF(ISNUMBER(Datos!N16),Datos!N16," - ")</f>
        <v>296</v>
      </c>
      <c r="G16" s="404">
        <f t="shared" si="4"/>
        <v>148</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1</v>
      </c>
      <c r="E17" s="404">
        <f>IF(ISNUMBER(D17/B17),D17/B17," - ")</f>
        <v>1</v>
      </c>
      <c r="F17" s="403">
        <f>IF(ISNUMBER(Datos!N17),Datos!N17," - ")</f>
        <v>38</v>
      </c>
      <c r="G17" s="404">
        <f>IF(ISNUMBER(F17/B17),F17/B17," - ")</f>
        <v>38</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54</v>
      </c>
      <c r="E18" s="850">
        <f t="shared" si="3"/>
        <v>27</v>
      </c>
      <c r="F18" s="849">
        <f>SUBTOTAL(9,F15:F17)</f>
        <v>334</v>
      </c>
      <c r="G18" s="850">
        <f t="shared" si="4"/>
        <v>167</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147</v>
      </c>
      <c r="E19" s="795">
        <f>IF(ISNUMBER(D19/B19),D19/B19," - ")</f>
        <v>73.5</v>
      </c>
      <c r="F19" s="794">
        <f>SUBTOTAL(9,F8:F18)</f>
        <v>579</v>
      </c>
      <c r="G19" s="795">
        <f>IF(ISNUMBER(F19/B19),F19/B19," - ")</f>
        <v>289.5</v>
      </c>
      <c r="H19" s="794">
        <f>SUBTOTAL(9,H8:H18)</f>
        <v>97</v>
      </c>
      <c r="I19" s="795">
        <f>IF(ISNUMBER(H19/B19),H19/B19," - ")</f>
        <v>48.5</v>
      </c>
    </row>
    <row r="22" spans="1:78">
      <c r="A22" s="391" t="str">
        <f>Criterios!A4</f>
        <v>Fecha Informe: 29 nov. 2024</v>
      </c>
    </row>
    <row r="27" spans="1:78">
      <c r="A27" s="414"/>
    </row>
  </sheetData>
  <sheetProtection algorithmName="SHA-512" hashValue="JL8pa9edGmM/OC+1t5V5JgvujT8md8v7vNy8tGabqOysMyk0/qcMRCng/B7E11/Bp92QCUu+MZZj6NNhYSjGaw==" saltValue="4Yk9l4CqghvWQDr6KrFtO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CUENCA</v>
      </c>
    </row>
    <row r="4" spans="1:4" ht="13.5" thickBot="1">
      <c r="B4" s="391" t="str">
        <f>Criterios!A11 &amp;"  "&amp;Criterios!B11</f>
        <v>Resumenes por Partidos Judiciales  TARANCON</v>
      </c>
    </row>
    <row r="5" spans="1:4" ht="12.75" customHeight="1">
      <c r="A5" s="1210" t="str">
        <f>"Año:  " &amp;Criterios!B5 &amp; "                  Trimestre   " &amp;Criterios!D5 &amp; " al " &amp;Criterios!D6</f>
        <v>Año:  2024                  Trimestre   3 al 3</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15</v>
      </c>
      <c r="C10" s="434">
        <f>IF(ISNUMBER(Datos!Q10),Datos!Q10," - ")</f>
        <v>2</v>
      </c>
      <c r="D10" s="408">
        <f>IF(ISNUMBER(Datos!R10),Datos!R10," - ")</f>
        <v>47</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78</v>
      </c>
      <c r="C12" s="434">
        <f>IF(ISNUMBER(Datos!Q12),Datos!Q12," - ")</f>
        <v>15</v>
      </c>
      <c r="D12" s="408">
        <f>IF(ISNUMBER(Datos!R12),Datos!R12," - ")</f>
        <v>2005</v>
      </c>
    </row>
    <row r="13" spans="1:4" ht="14.25" thickTop="1" thickBot="1">
      <c r="A13" s="848" t="str">
        <f>Datos!A13</f>
        <v>TOTAL</v>
      </c>
      <c r="B13" s="849">
        <f>SUBTOTAL(9,B9:B12)</f>
        <v>93</v>
      </c>
      <c r="C13" s="853">
        <f>SUBTOTAL(9,C9:C12)</f>
        <v>17</v>
      </c>
      <c r="D13" s="851">
        <f>SUBTOTAL(9,D9:D12)</f>
        <v>2052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10</v>
      </c>
      <c r="C16" s="434">
        <f>IF(ISNUMBER(Datos!Q16),Datos!Q16," - ")</f>
        <v>2</v>
      </c>
      <c r="D16" s="408">
        <f>IF(ISNUMBER(Datos!R16),Datos!R16," - ")</f>
        <v>148</v>
      </c>
    </row>
    <row r="17" spans="1:4" ht="13.5" thickBot="1">
      <c r="A17" s="402" t="str">
        <f>Datos!A17</f>
        <v>Jdos. Violencia contra la mujer</v>
      </c>
      <c r="B17" s="433">
        <f>IF(ISNUMBER(Datos!P17),Datos!P17," - ")</f>
        <v>1</v>
      </c>
      <c r="C17" s="434">
        <f>IF(ISNUMBER(Datos!Q17),Datos!Q17," - ")</f>
        <v>1</v>
      </c>
      <c r="D17" s="408">
        <f>IF(ISNUMBER(Datos!R17),Datos!R17," - ")</f>
        <v>0</v>
      </c>
    </row>
    <row r="18" spans="1:4" ht="14.25" thickTop="1" thickBot="1">
      <c r="A18" s="848" t="str">
        <f>Datos!A18</f>
        <v>TOTAL</v>
      </c>
      <c r="B18" s="849">
        <f>SUBTOTAL(9,B15:B17)</f>
        <v>11</v>
      </c>
      <c r="C18" s="853">
        <f>SUBTOTAL(9,C15:C17)</f>
        <v>3</v>
      </c>
      <c r="D18" s="851">
        <f>SUBTOTAL(9,D15:D17)</f>
        <v>148</v>
      </c>
    </row>
    <row r="19" spans="1:4" ht="16.5" customHeight="1" thickTop="1" thickBot="1">
      <c r="A19" s="793" t="str">
        <f>Datos!A19</f>
        <v>TOTAL JURISDICCIONES</v>
      </c>
      <c r="B19" s="798">
        <f>SUBTOTAL(9,B8:B18)</f>
        <v>104</v>
      </c>
      <c r="C19" s="799">
        <f>SUBTOTAL(9,C8:C18)</f>
        <v>20</v>
      </c>
      <c r="D19" s="800">
        <f>SUBTOTAL(9,D8:D18)</f>
        <v>2200</v>
      </c>
    </row>
    <row r="20" spans="1:4" ht="7.5" customHeight="1"/>
    <row r="21" spans="1:4" ht="6" customHeight="1"/>
    <row r="22" spans="1:4">
      <c r="A22" s="391" t="str">
        <f>Criterios!A4</f>
        <v>Fecha Informe: 29 nov. 2024</v>
      </c>
    </row>
    <row r="27" spans="1:4">
      <c r="A27" s="414"/>
    </row>
  </sheetData>
  <sheetProtection algorithmName="SHA-512" hashValue="mzXlMa5dRl1GO8/iCpyafdJ9KGIfTJm3bUqzUb3VlV8TjuG3RM3nvTRISc3vepSyaMKY38w1zkCYYooidJop0g==" saltValue="+JC4fWNfQ7JXZ+SIS5oVQ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CUENCA</v>
      </c>
    </row>
    <row r="4" spans="1:11" ht="10.5" customHeight="1" thickBot="1">
      <c r="B4" s="391" t="str">
        <f>Criterios!A11 &amp;"  "&amp;Criterios!B11</f>
        <v>Resumenes por Partidos Judiciales  TARANCON</v>
      </c>
    </row>
    <row r="5" spans="1:11" ht="12.75" customHeight="1">
      <c r="A5" s="1210" t="str">
        <f>"Año:  " &amp;Criterios!B5 &amp; "    Trimestre   " &amp;Criterios!D5 &amp; " al " &amp;Criterios!D6</f>
        <v>Año:  2024    Trimestre   3 al 3</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0.20408163265306123</v>
      </c>
      <c r="C10" s="456">
        <f>IF(ISNUMBER((Datos!J10-Datos!T10)/Datos!T10),(Datos!J10-Datos!T10)/Datos!T10," - ")</f>
        <v>0.11764705882352941</v>
      </c>
      <c r="D10" s="456">
        <f>IF(ISNUMBER((Datos!K10-Datos!U10)/Datos!U10),(Datos!K10-Datos!U10)/Datos!U10," - ")</f>
        <v>0.42857142857142855</v>
      </c>
      <c r="E10" s="456">
        <f>IF(ISNUMBER((Datos!L10-Datos!V10)/Datos!V10),(Datos!L10-Datos!V10)/Datos!V10," - ")</f>
        <v>0.15254237288135594</v>
      </c>
      <c r="F10" s="456">
        <f>IF(ISNUMBER((Datos!M10-Datos!W10)/Datos!W10),(Datos!M10-Datos!W10)/Datos!W10," - ")</f>
        <v>-0.25</v>
      </c>
      <c r="G10" s="457" t="str">
        <f>IF(ISNUMBER((Datos!N10-Datos!X10)/Datos!X10),(Datos!N10-Datos!X10)/Datos!X10," - ")</f>
        <v xml:space="preserve"> - </v>
      </c>
      <c r="H10" s="455">
        <f>IF(ISNUMBER(((NºAsuntos!G10/NºAsuntos!E10)-Datos!BD10)/Datos!BD10),((NºAsuntos!G10/NºAsuntos!E10)-Datos!BD10)/Datos!BD10," - ")</f>
        <v>0.2781954887218045</v>
      </c>
      <c r="I10" s="456">
        <f>IF(ISNUMBER(((NºAsuntos!I10/NºAsuntos!G10)-Datos!BE10)/Datos!BE10),((NºAsuntos!I10/NºAsuntos!G10)-Datos!BE10)/Datos!BE10," - ")</f>
        <v>-0.19322033898305088</v>
      </c>
      <c r="J10" s="461">
        <f>IF(ISNUMBER((('Resol  Asuntos'!D10/NºAsuntos!G10)-Datos!BF10)/Datos!BF10),(('Resol  Asuntos'!D10/NºAsuntos!G10)-Datos!BF10)/Datos!BF10," - ")</f>
        <v>-0.47499999999999998</v>
      </c>
      <c r="K10" s="462">
        <f>IF(ISNUMBER((((NºAsuntos!C10+NºAsuntos!E10)/NºAsuntos!G10)-Datos!BG10)/Datos!BG10),(((NºAsuntos!C10+NºAsuntos!E10)/NºAsuntos!G10)-Datos!BG10)/Datos!BG10," - ")</f>
        <v>-0.17272727272727276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0.16279069767441862</v>
      </c>
      <c r="C12" s="456">
        <f>IF(ISNUMBER(
   IF(J_V="SI",(Datos!J12-Datos!T12)/Datos!T12,(Datos!J12+Datos!Z12-(Datos!T12+Datos!AH12))/(Datos!T12+Datos!AH12))
     ),IF(J_V="SI",(Datos!J12-Datos!T12)/Datos!T12,(Datos!J12+Datos!Z12-(Datos!T12+Datos!AH12))/(Datos!T12+Datos!AH12))," - ")</f>
        <v>0.59249329758713132</v>
      </c>
      <c r="D12" s="456">
        <f>IF(ISNUMBER(
   IF(J_V="SI",(Datos!K12-Datos!U12)/Datos!U12,(Datos!K12+Datos!AA12-(Datos!U12+Datos!AI12))/(Datos!U12+Datos!AI12))
     ),IF(J_V="SI",(Datos!K12-Datos!U12)/Datos!U12,(Datos!K12+Datos!AA12-(Datos!U12+Datos!AI12))/(Datos!U12+Datos!AI12))," - ")</f>
        <v>0.2099125364431487</v>
      </c>
      <c r="E12" s="456">
        <f>IF(ISNUMBER(
   IF(J_V="SI",(Datos!L12-Datos!V12)/Datos!V12,(Datos!L12+Datos!AB12-(Datos!V12+Datos!AJ12))/(Datos!V12+Datos!AJ12))
     ),IF(J_V="SI",(Datos!L12-Datos!V12)/Datos!V12,(Datos!L12+Datos!AB12-(Datos!V12+Datos!AJ12))/(Datos!V12+Datos!AJ12))," - ")</f>
        <v>0.23161413562559693</v>
      </c>
      <c r="F12" s="456">
        <f>IF(ISNUMBER((Datos!M12-Datos!W12)/Datos!W12),(Datos!M12-Datos!W12)/Datos!W12," - ")</f>
        <v>0.18421052631578946</v>
      </c>
      <c r="G12" s="457">
        <f>IF(ISNUMBER((Datos!N12-Datos!X12)/Datos!X12),(Datos!N12-Datos!X12)/Datos!X12," - ")</f>
        <v>0.89600000000000002</v>
      </c>
      <c r="H12" s="455">
        <f>IF(ISNUMBER(((NºAsuntos!G12/NºAsuntos!E12)-Datos!BD12)/Datos!BD12),((NºAsuntos!G12/NºAsuntos!E12)-Datos!BD12)/Datos!BD12," - ")</f>
        <v>-0.24024010758704634</v>
      </c>
      <c r="I12" s="456">
        <f>IF(ISNUMBER(((NºAsuntos!I12/NºAsuntos!G12)-Datos!BE12)/Datos!BE12),((NºAsuntos!I12/NºAsuntos!G12)-Datos!BE12)/Datos!BE12," - ")</f>
        <v>1.7936502456818711E-2</v>
      </c>
      <c r="J12" s="461">
        <f>IF(ISNUMBER((('Resol  Asuntos'!D12/NºAsuntos!G12)-Datos!BF12)/Datos!BF12),(('Resol  Asuntos'!D12/NºAsuntos!G12)-Datos!BF12)/Datos!BF12," - ")</f>
        <v>-0.40491566265060236</v>
      </c>
      <c r="K12" s="462">
        <f>IF(ISNUMBER((((NºAsuntos!C12+NºAsuntos!E12)/NºAsuntos!G12)-Datos!BG12)/Datos!BG12),(((NºAsuntos!C12+NºAsuntos!E12)/NºAsuntos!G12)-Datos!BG12)/Datos!BG12," - ")</f>
        <v>1.5411996776601714E-2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0.16374822527212493</v>
      </c>
      <c r="C13" s="855">
        <f>IF(ISNUMBER(
   IF(J_V="SI",(Datos!J13-Datos!T13)/Datos!T13,(Datos!J13+Datos!Z13-(Datos!T13+Datos!AH13))/(Datos!T13+Datos!AH13))
     ),IF(J_V="SI",(Datos!J13-Datos!T13)/Datos!T13,(Datos!J13+Datos!Z13-(Datos!T13+Datos!AH13))/(Datos!T13+Datos!AH13))," - ")</f>
        <v>0.57179487179487176</v>
      </c>
      <c r="D13" s="855">
        <f>IF(ISNUMBER(
   IF(J_V="SI",(Datos!K13-Datos!U13)/Datos!U13,(Datos!K13+Datos!AA13-(Datos!U13+Datos!AI13))/(Datos!U13+Datos!AI13))
     ),IF(J_V="SI",(Datos!K13-Datos!U13)/Datos!U13,(Datos!K13+Datos!AA13-(Datos!U13+Datos!AI13))/(Datos!U13+Datos!AI13))," - ")</f>
        <v>0.21428571428571427</v>
      </c>
      <c r="E13" s="855">
        <f>IF(ISNUMBER(
   IF(J_V="SI",(Datos!L13-Datos!V13)/Datos!V13,(Datos!L13+Datos!AB13-(Datos!V13+Datos!AJ13))/(Datos!V13+Datos!AJ13))
     ),IF(J_V="SI",(Datos!L13-Datos!V13)/Datos!V13,(Datos!L13+Datos!AB13-(Datos!V13+Datos!AJ13))/(Datos!V13+Datos!AJ13))," - ")</f>
        <v>0.22944728286112401</v>
      </c>
      <c r="F13" s="856">
        <f>IF(ISNUMBER((Datos!M13-Datos!W13)/Datos!W13),(Datos!M13-Datos!W13)/Datos!W13," - ")</f>
        <v>0.16250000000000001</v>
      </c>
      <c r="G13" s="857">
        <f>IF(ISNUMBER((Datos!N13-Datos!X13)/Datos!X13),(Datos!N13-Datos!X13)/Datos!X13," - ")</f>
        <v>0.96</v>
      </c>
      <c r="H13" s="857">
        <f>IF(ISNUMBER(((NºAsuntos!G13/NºAsuntos!E13)-Datos!BD13)/Datos!BD13),((NºAsuntos!G13/NºAsuntos!E13)-Datos!BD13)/Datos!BD13," - ")</f>
        <v>-0.22745280820321609</v>
      </c>
      <c r="I13" s="857">
        <f>IF(ISNUMBER(((NºAsuntos!I13/NºAsuntos!G13)-Datos!BE13)/Datos!BE13),((NºAsuntos!I13/NºAsuntos!G13)-Datos!BE13)/Datos!BE13," - ")</f>
        <v>1.2485997650337494E-2</v>
      </c>
      <c r="J13" s="857">
        <f>IF(ISNUMBER((('Resol  Asuntos'!D13/NºAsuntos!G13)-Datos!BF13)/Datos!BF13),(('Resol  Asuntos'!D13/NºAsuntos!G13)-Datos!BF13)/Datos!BF13," - ")</f>
        <v>-0.40629274965800272</v>
      </c>
      <c r="K13" s="857">
        <f>IF(ISNUMBER((((NºAsuntos!C13+NºAsuntos!E13)/NºAsuntos!G13)-Datos!BG13)/Datos!BG13),(((NºAsuntos!C13+NºAsuntos!E13)/NºAsuntos!G13)-Datos!BG13)/Datos!BG13," - ")</f>
        <v>1.0740053112735367E-2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0.16419832582099164</v>
      </c>
      <c r="C16" s="456">
        <f>IF(ISNUMBER(
   IF(D_I="SI",(Datos!J16-Datos!T16)/Datos!T16,(Datos!J16+Datos!AD16-(Datos!T16+Datos!AL16))/(Datos!T16+Datos!AL16))
     ),IF(D_I="SI",(Datos!J16-Datos!T16)/Datos!T16,(Datos!J16+Datos!AD16-(Datos!T16+Datos!AL16))/(Datos!T16+Datos!AL16))," - ")</f>
        <v>0.13082039911308205</v>
      </c>
      <c r="D16" s="456">
        <f>IF(ISNUMBER(
   IF(D_I="SI",(Datos!K16-Datos!U16)/Datos!U16,(Datos!K16+Datos!AE16-(Datos!U16+Datos!AM16))/(Datos!U16+Datos!AM16))
     ),IF(D_I="SI",(Datos!K16-Datos!U16)/Datos!U16,(Datos!K16+Datos!AE16-(Datos!U16+Datos!AM16))/(Datos!U16+Datos!AM16))," - ")</f>
        <v>0.24403183023872679</v>
      </c>
      <c r="E16" s="456">
        <f>IF(ISNUMBER(
   IF(D_I="SI",(Datos!L16-Datos!V16)/Datos!V16,(Datos!L16+Datos!AF16-(Datos!V16+Datos!AN16))/(Datos!V16+Datos!AN16))
     ),IF(D_I="SI",(Datos!L16-Datos!V16)/Datos!V16,(Datos!L16+Datos!AF16-(Datos!V16+Datos!AN16))/(Datos!V16+Datos!AN16))," - ")</f>
        <v>0.13706207744314688</v>
      </c>
      <c r="F16" s="456">
        <f>IF(ISNUMBER((Datos!M16-Datos!W16)/Datos!W16),(Datos!M16-Datos!W16)/Datos!W16," - ")</f>
        <v>0.70967741935483875</v>
      </c>
      <c r="G16" s="457">
        <f>IF(ISNUMBER((Datos!N16-Datos!X16)/Datos!X16),(Datos!N16-Datos!X16)/Datos!X16," - ")</f>
        <v>1.7182130584192441E-2</v>
      </c>
      <c r="H16" s="455">
        <f>IF(ISNUMBER(((NºAsuntos!G16/NºAsuntos!E16)-Datos!BD16)/Datos!BD16),((NºAsuntos!G16/NºAsuntos!E16)-Datos!BD16)/Datos!BD16," - ")</f>
        <v>0.10011442242679558</v>
      </c>
      <c r="I16" s="456">
        <f>IF(ISNUMBER(((NºAsuntos!I16/NºAsuntos!G16)-Datos!BE16)/Datos!BE16),((NºAsuntos!I16/NºAsuntos!G16)-Datos!BE16)/Datos!BE16," - ")</f>
        <v>-8.5986347129922355E-2</v>
      </c>
      <c r="J16" s="461">
        <f>IF(ISNUMBER((('Resol  Asuntos'!D16/NºAsuntos!G16)-Datos!BF16)/Datos!BF16),(('Resol  Asuntos'!D16/NºAsuntos!G16)-Datos!BF16)/Datos!BF16," - ")</f>
        <v>0.37430359722126694</v>
      </c>
      <c r="K16" s="462">
        <f>IF(ISNUMBER((((NºAsuntos!C16+NºAsuntos!E16)/NºAsuntos!G16)-Datos!BG16)/Datos!BG16),(((NºAsuntos!C16+NºAsuntos!E16)/NºAsuntos!G16)-Datos!BG16)/Datos!BG16," - ")</f>
        <v>-7.0211389587562581E-2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0.15384615384615385</v>
      </c>
      <c r="C17" s="456">
        <f>IF(ISNUMBER(
   IF(D_I="SI",(Datos!J17-Datos!T17)/Datos!T17,(Datos!J17+Datos!AD17-(Datos!T17+Datos!AL17))/(Datos!T17+Datos!AL17))
     ),IF(D_I="SI",(Datos!J17-Datos!T17)/Datos!T17,(Datos!J17+Datos!AD17-(Datos!T17+Datos!AL17))/(Datos!T17+Datos!AL17))," - ")</f>
        <v>0.41025641025641024</v>
      </c>
      <c r="D17" s="456">
        <f>IF(ISNUMBER(
   IF(D_I="SI",(Datos!K17-Datos!U17)/Datos!U17,(Datos!K17+Datos!AE17-(Datos!U17+Datos!AM17))/(Datos!U17+Datos!AM17))
     ),IF(D_I="SI",(Datos!K17-Datos!U17)/Datos!U17,(Datos!K17+Datos!AE17-(Datos!U17+Datos!AM17))/(Datos!U17+Datos!AM17))," - ")</f>
        <v>0.14285714285714285</v>
      </c>
      <c r="E17" s="456">
        <f>IF(ISNUMBER(
   IF(D_I="SI",(Datos!L17-Datos!V17)/Datos!V17,(Datos!L17+Datos!AF17-(Datos!V17+Datos!AN17))/(Datos!V17+Datos!AN17))
     ),IF(D_I="SI",(Datos!L17-Datos!V17)/Datos!V17,(Datos!L17+Datos!AF17-(Datos!V17+Datos!AN17))/(Datos!V17+Datos!AN17))," - ")</f>
        <v>0.28048780487804881</v>
      </c>
      <c r="F17" s="456">
        <f>IF(ISNUMBER((Datos!M17-Datos!W17)/Datos!W17),(Datos!M17-Datos!W17)/Datos!W17," - ")</f>
        <v>0</v>
      </c>
      <c r="G17" s="457">
        <f>IF(ISNUMBER((Datos!N17-Datos!X17)/Datos!X17),(Datos!N17-Datos!X17)/Datos!X17," - ")</f>
        <v>0.52</v>
      </c>
      <c r="H17" s="455">
        <f>IF(ISNUMBER(((NºAsuntos!G17/NºAsuntos!E17)-Datos!BD17)/Datos!BD17),((NºAsuntos!G17/NºAsuntos!E17)-Datos!BD17)/Datos!BD17," - ")</f>
        <v>-0.18961038961038962</v>
      </c>
      <c r="I17" s="456">
        <f>IF(ISNUMBER(((NºAsuntos!I17/NºAsuntos!G17)-Datos!BE17)/Datos!BE17),((NºAsuntos!I17/NºAsuntos!G17)-Datos!BE17)/Datos!BE17," - ")</f>
        <v>0.12042682926829262</v>
      </c>
      <c r="J17" s="461">
        <f>IF(ISNUMBER((('Resol  Asuntos'!D17/NºAsuntos!G17)-Datos!BF17)/Datos!BF17),(('Resol  Asuntos'!D17/NºAsuntos!G17)-Datos!BF17)/Datos!BF17," - ")</f>
        <v>-0.12499999999999993</v>
      </c>
      <c r="K17" s="462">
        <f>IF(ISNUMBER((((NºAsuntos!C17+NºAsuntos!E17)/NºAsuntos!G17)-Datos!BG17)/Datos!BG17),(((NºAsuntos!C17+NºAsuntos!E17)/NºAsuntos!G17)-Datos!BG17)/Datos!BG17," - ")</f>
        <v>8.4401709401709366E-2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0.16370324954015941</v>
      </c>
      <c r="C18" s="855">
        <f>IF(ISNUMBER(
   IF(Criterios!B14="SI",(Datos!J18-Datos!T18)/Datos!T18,(Datos!J18+Datos!AD18-(Datos!T18+Datos!AL18))/(Datos!T18+Datos!AL18))
     ),IF(Criterios!B14="SI",(Datos!J18-Datos!T18)/Datos!T18,(Datos!J18+Datos!AD18-(Datos!T18+Datos!AL18))/(Datos!T18+Datos!AL18))," - ")</f>
        <v>0.15306122448979592</v>
      </c>
      <c r="D18" s="855">
        <f>IF(ISNUMBER(
   IF(Criterios!B14="SI",(Datos!K18-Datos!U18)/Datos!U18,(Datos!K18+Datos!AE18-(Datos!U18+Datos!AM18))/(Datos!U18+Datos!AM18))
     ),IF(Criterios!B14="SI",(Datos!K18-Datos!U18)/Datos!U18,(Datos!K18+Datos!AE18-(Datos!U18+Datos!AM18))/(Datos!U18+Datos!AM18))," - ")</f>
        <v>0.2354368932038835</v>
      </c>
      <c r="E18" s="855">
        <f>IF(ISNUMBER(
   IF(Criterios!B14="SI",(Datos!L18-Datos!V18)/Datos!V18,(Datos!L18+Datos!AF18-(Datos!V18+Datos!AN18))/(Datos!V18+Datos!AN18))
     ),IF(Criterios!B14="SI",(Datos!L18-Datos!V18)/Datos!V18,(Datos!L18+Datos!AF18-(Datos!V18+Datos!AN18))/(Datos!V18+Datos!AN18))," - ")</f>
        <v>0.14394382679929785</v>
      </c>
      <c r="F18" s="856">
        <f>IF(ISNUMBER((Datos!M18-Datos!W18)/Datos!W18),(Datos!M18-Datos!W18)/Datos!W18," - ")</f>
        <v>0.6875</v>
      </c>
      <c r="G18" s="857">
        <f>IF(ISNUMBER((Datos!N18-Datos!X18)/Datos!X18),(Datos!N18-Datos!X18)/Datos!X18," - ")</f>
        <v>5.6962025316455694E-2</v>
      </c>
      <c r="H18" s="857">
        <f>IF(ISNUMBER(((NºAsuntos!G18/NºAsuntos!E18)-Datos!BD18)/Datos!BD18),((NºAsuntos!G18/NºAsuntos!E18)-Datos!BD18)/Datos!BD18," - ")</f>
        <v>7.144084543345651E-2</v>
      </c>
      <c r="I18" s="857">
        <f>IF(ISNUMBER(((NºAsuntos!I18/NºAsuntos!G18)-Datos!BE18)/Datos!BE18),((NºAsuntos!I18/NºAsuntos!G18)-Datos!BE18)/Datos!BE18," - ")</f>
        <v>-7.4057256107444652E-2</v>
      </c>
      <c r="J18" s="857">
        <f>IF(ISNUMBER((('Resol  Asuntos'!D18/NºAsuntos!G18)-Datos!BF18)/Datos!BF18),(('Resol  Asuntos'!D18/NºAsuntos!G18)-Datos!BF18)/Datos!BF18," - ")</f>
        <v>0.36591355599214148</v>
      </c>
      <c r="K18" s="857">
        <f>IF(ISNUMBER((((NºAsuntos!C18+NºAsuntos!E18)/NºAsuntos!G18)-Datos!BG18)/Datos!BG18),(((NºAsuntos!C18+NºAsuntos!E18)/NºAsuntos!G18)-Datos!BG18)/Datos!BG18," - ")</f>
        <v>-6.0053409214062117E-2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0.16372863247863248</v>
      </c>
      <c r="C19" s="802">
        <f>IF(ISNUMBER(
   IF(J_V="SI",(Datos!J19-Datos!T19)/Datos!T19,(Datos!J19+Datos!Z19-(Datos!T19+Datos!AH19))/(Datos!T19+Datos!AH19))
     ),IF(J_V="SI",(Datos!J19-Datos!T19)/Datos!T19,(Datos!J19+Datos!Z19-(Datos!T19+Datos!AH19))/(Datos!T19+Datos!AH19))," - ")</f>
        <v>0.33863636363636362</v>
      </c>
      <c r="D19" s="802">
        <f>IF(ISNUMBER(
   IF(J_V="SI",(Datos!K19-Datos!U19)/Datos!U19,(Datos!K19+Datos!AA19-(Datos!U19+Datos!AI19))/(Datos!U19+Datos!AI19))
     ),IF(J_V="SI",(Datos!K19-Datos!U19)/Datos!U19,(Datos!K19+Datos!AA19-(Datos!U19+Datos!AI19))/(Datos!U19+Datos!AI19))," - ")</f>
        <v>0.22572178477690288</v>
      </c>
      <c r="E19" s="802">
        <f>IF(ISNUMBER(
   IF(J_V="SI",(Datos!L19-Datos!V19)/Datos!V19,(Datos!L19+Datos!AB19-(Datos!V19+Datos!AJ19))/(Datos!V19+Datos!AJ19))
     ),IF(J_V="SI",(Datos!L19-Datos!V19)/Datos!V19,(Datos!L19+Datos!AB19-(Datos!V19+Datos!AJ19))/(Datos!V19+Datos!AJ19))," - ")</f>
        <v>0.19161056447436561</v>
      </c>
      <c r="F19" s="803">
        <f>IF(ISNUMBER((Datos!M19-Datos!W19)/Datos!W19),(Datos!M19-Datos!W19)/Datos!W19," - ")</f>
        <v>0.3125</v>
      </c>
      <c r="G19" s="804">
        <f>IF(ISNUMBER((Datos!N19-Datos!X19)/Datos!X19),(Datos!N19-Datos!X19)/Datos!X19," - ")</f>
        <v>0.31292517006802723</v>
      </c>
      <c r="H19" s="805">
        <f>IF(ISNUMBER((Tasas!B19-Datos!BD19)/Datos!BD19),(Tasas!B19-Datos!BD19)/Datos!BD19," - ")</f>
        <v>-8.4350449402653196E-2</v>
      </c>
      <c r="I19" s="806">
        <f>IF(ISNUMBER((Tasas!C19-Datos!BE19)/Datos!BE19),(Tasas!C19-Datos!BE19)/Datos!BE19," - ")</f>
        <v>-2.7829496649393218E-2</v>
      </c>
      <c r="J19" s="807">
        <f>IF(ISNUMBER((Tasas!D19-Datos!BF19)/Datos!BF19),(Tasas!D19-Datos!BF19)/Datos!BF19," - ")</f>
        <v>-0.25509729075505078</v>
      </c>
      <c r="K19" s="807">
        <f>IF(ISNUMBER((Tasas!E19-Datos!BG19)/Datos!BG19),(Tasas!E19-Datos!BG19)/Datos!BG19," - ")</f>
        <v>-2.3419844698176453E-2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29 nov.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uHNZ9tcvnHpoEfbbpllLivfeZZAhPqiUtlns/KDpuQQuLQnrzwIM0anCvUWHLb3VOflQKzixneHwNqleYDAoOQ==" saltValue="YG7vRg/LTix0pGaenV8pR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CUENCA</v>
      </c>
    </row>
    <row r="4" spans="1:7" ht="11.25" customHeight="1" thickBot="1">
      <c r="B4" s="391" t="str">
        <f>Criterios!A11 &amp;"  "&amp;Criterios!B11</f>
        <v>Resumenes por Partidos Judiciales  TARANCON</v>
      </c>
    </row>
    <row r="5" spans="1:7" ht="12.75" customHeight="1">
      <c r="A5" s="1210" t="str">
        <f>"Año:  " &amp;Criterios!B5 &amp; "    Trimestre   " &amp;Criterios!D5 &amp; " al " &amp;Criterios!D6</f>
        <v>Año:  2024    Trimestre   3 al 3</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0.52631578947368418</v>
      </c>
      <c r="C10" s="443">
        <f>IF(ISNUMBER(NºAsuntos!I10/NºAsuntos!G10),NºAsuntos!I10/NºAsuntos!G10," - ")</f>
        <v>6.8</v>
      </c>
      <c r="D10" s="444">
        <f>IF(ISNUMBER('Resol  Asuntos'!D10/NºAsuntos!G10),'Resol  Asuntos'!D10/NºAsuntos!G10," - ")</f>
        <v>0.3</v>
      </c>
      <c r="E10" s="445">
        <f>IF(ISNUMBER((NºAsuntos!C10+NºAsuntos!E10)/NºAsuntos!G10),(NºAsuntos!C10+NºAsuntos!E10)/NºAsuntos!G10," - ")</f>
        <v>7.8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0.69865319865319864</v>
      </c>
      <c r="C12" s="443">
        <f>IF(ISNUMBER(NºAsuntos!I12/NºAsuntos!G12),NºAsuntos!I12/NºAsuntos!G12," - ")</f>
        <v>6.2144578313253014</v>
      </c>
      <c r="D12" s="444">
        <f>IF(ISNUMBER('Resol  Asuntos'!D12/NºAsuntos!G12),'Resol  Asuntos'!D12/NºAsuntos!G12," - ")</f>
        <v>0.21686746987951808</v>
      </c>
      <c r="E12" s="445">
        <f>IF(ISNUMBER((NºAsuntos!C12+NºAsuntos!E12)/NºAsuntos!G12),(NºAsuntos!C12+NºAsuntos!E12)/NºAsuntos!G12," - ")</f>
        <v>7.2144578313253014</v>
      </c>
      <c r="G12" s="463"/>
    </row>
    <row r="13" spans="1:7" ht="14.25" thickTop="1" thickBot="1">
      <c r="A13" s="848" t="str">
        <f>Datos!A13</f>
        <v>TOTAL</v>
      </c>
      <c r="B13" s="858">
        <f>IF(ISNUMBER(NºAsuntos!G13/NºAsuntos!E13),NºAsuntos!G13/NºAsuntos!E13," - ")</f>
        <v>0.69331158238172919</v>
      </c>
      <c r="C13" s="859">
        <f>IF(ISNUMBER(NºAsuntos!I13/NºAsuntos!G13),NºAsuntos!I13/NºAsuntos!G13," - ")</f>
        <v>6.2282352941176473</v>
      </c>
      <c r="D13" s="860">
        <f>IF(ISNUMBER('Resol  Asuntos'!D13/NºAsuntos!G13),'Resol  Asuntos'!D13/NºAsuntos!G13," - ")</f>
        <v>0.21882352941176469</v>
      </c>
      <c r="E13" s="861">
        <f>IF(ISNUMBER((NºAsuntos!C13+NºAsuntos!E13)/NºAsuntos!G13),(NºAsuntos!C13+NºAsuntos!E13)/NºAsuntos!G13," - ")</f>
        <v>7.2282352941176473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0.91960784313725485</v>
      </c>
      <c r="C16" s="443">
        <f>IF(ISNUMBER(NºAsuntos!I16/NºAsuntos!G16),NºAsuntos!I16/NºAsuntos!G16," - ")</f>
        <v>3.9445628997867805</v>
      </c>
      <c r="D16" s="444">
        <f>IF(ISNUMBER('Resol  Asuntos'!D16/NºAsuntos!G16),'Resol  Asuntos'!D16/NºAsuntos!G16," - ")</f>
        <v>0.11300639658848614</v>
      </c>
      <c r="E16" s="445">
        <f>IF(ISNUMBER((NºAsuntos!C16+NºAsuntos!E16)/NºAsuntos!G16),(NºAsuntos!C16+NºAsuntos!E16)/NºAsuntos!G16," - ")</f>
        <v>4.9424307036247335</v>
      </c>
      <c r="G16" s="463"/>
    </row>
    <row r="17" spans="1:7" ht="13.5" thickBot="1">
      <c r="A17" s="402" t="str">
        <f>Datos!A17</f>
        <v>Jdos. Violencia contra la mujer</v>
      </c>
      <c r="B17" s="442">
        <f>IF(ISNUMBER(NºAsuntos!G17/NºAsuntos!E17),NºAsuntos!G17/NºAsuntos!E17," - ")</f>
        <v>0.72727272727272729</v>
      </c>
      <c r="C17" s="443">
        <f>IF(ISNUMBER(NºAsuntos!I17/NºAsuntos!G17),NºAsuntos!I17/NºAsuntos!G17," - ")</f>
        <v>2.625</v>
      </c>
      <c r="D17" s="444">
        <f>IF(ISNUMBER('Resol  Asuntos'!D17/NºAsuntos!G17),'Resol  Asuntos'!D17/NºAsuntos!G17," - ")</f>
        <v>2.5000000000000001E-2</v>
      </c>
      <c r="E17" s="445">
        <f>IF(ISNUMBER((NºAsuntos!C17+NºAsuntos!E17)/NºAsuntos!G17),(NºAsuntos!C17+NºAsuntos!E17)/NºAsuntos!G17," - ")</f>
        <v>3.625</v>
      </c>
      <c r="G17" s="463"/>
    </row>
    <row r="18" spans="1:7" ht="14.25" thickTop="1" thickBot="1">
      <c r="A18" s="848" t="str">
        <f>Datos!A18</f>
        <v>TOTAL</v>
      </c>
      <c r="B18" s="858">
        <f>IF(ISNUMBER(NºAsuntos!G18/NºAsuntos!E18),NºAsuntos!G18/NºAsuntos!E18," - ")</f>
        <v>0.90088495575221239</v>
      </c>
      <c r="C18" s="859">
        <f>IF(ISNUMBER(NºAsuntos!I18/NºAsuntos!G18),NºAsuntos!I18/NºAsuntos!G18," - ")</f>
        <v>3.8408644400785854</v>
      </c>
      <c r="D18" s="862">
        <f>IF(ISNUMBER('Resol  Asuntos'!D18/NºAsuntos!G18),'Resol  Asuntos'!D18/NºAsuntos!G18," - ")</f>
        <v>0.10609037328094302</v>
      </c>
      <c r="E18" s="861">
        <f>IF(ISNUMBER((NºAsuntos!C18+NºAsuntos!E18)/NºAsuntos!G18),(NºAsuntos!C18+NºAsuntos!E18)/NºAsuntos!G18," - ")</f>
        <v>4.8388998035363455</v>
      </c>
      <c r="G18" s="463"/>
    </row>
    <row r="19" spans="1:7" ht="15.75" customHeight="1" thickTop="1" thickBot="1">
      <c r="A19" s="793" t="str">
        <f>Datos!A19</f>
        <v>TOTAL JURISDICCIONES</v>
      </c>
      <c r="B19" s="808">
        <f>IF(ISNUMBER(NºAsuntos!G19/NºAsuntos!E19),NºAsuntos!G19/NºAsuntos!E19," - ")</f>
        <v>0.79286926994906626</v>
      </c>
      <c r="C19" s="809">
        <f>IF(ISNUMBER(NºAsuntos!I19/NºAsuntos!G19),NºAsuntos!I19/NºAsuntos!G19," - ")</f>
        <v>4.9271948608137048</v>
      </c>
      <c r="D19" s="810">
        <f>IF(ISNUMBER('Resol  Asuntos'!D19/NºAsuntos!G19),'Resol  Asuntos'!D19/NºAsuntos!G19," - ")</f>
        <v>0.15738758029978586</v>
      </c>
      <c r="E19" s="811">
        <f>IF(ISNUMBER((NºAsuntos!C19+NºAsuntos!E19)/NºAsuntos!G19),(NºAsuntos!C19+NºAsuntos!E19)/NºAsuntos!G19," - ")</f>
        <v>5.9261241970021414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29 nov.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Qz2jefS5C8VO0SJzmin0ytmcW7nds1VhshzUlw7QibQSEgXGWDz6Yt5eq8gWicrUUF24xcn8t24A4KfIAMZRlg==" saltValue="J/jTb+Co8ie+KEBj1mMi4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CUENCA</v>
      </c>
      <c r="N2" s="262" t="str">
        <f>Criterios!A11 &amp;"  "&amp;Criterios!B11</f>
        <v>Resumenes por Partidos Judiciales  TARANCON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3 al 3</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59</v>
      </c>
      <c r="G10" s="333">
        <f>IF(ISNUMBER(Datos!I10),Datos!I10," - ")</f>
        <v>59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15</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10</v>
      </c>
      <c r="X10" s="226">
        <f>IF(ISNUMBER(Datos!Q10),Datos!Q10," - ")</f>
        <v>2</v>
      </c>
      <c r="Y10" s="334">
        <f t="shared" ref="Y10:Y12" si="0">SUM(W10:X10)</f>
        <v>12</v>
      </c>
      <c r="Z10" s="335" t="str">
        <f>IF(ISNUMBER(Datos!CC10),Datos!CC10," - ")</f>
        <v xml:space="preserve"> - </v>
      </c>
      <c r="AA10" s="332">
        <f>IF(ISNUMBER(Datos!L10),Datos!L10,"-")</f>
        <v>68</v>
      </c>
      <c r="AB10" s="334">
        <f>IF(ISNUMBER(Datos!R10),Datos!R10," - ")</f>
        <v>47</v>
      </c>
      <c r="AC10" s="334">
        <f t="shared" ref="AC10:AC12" si="1">IF(ISNUMBER(AA10+AB10),AA10+AB10," - ")</f>
        <v>115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0.52631578947368418</v>
      </c>
      <c r="AM10" s="260">
        <f>IF(ISNUMBER(((NºAsuntos!I10/NºAsuntos!G10)*11)/factor_trimestre),((NºAsuntos!I10/NºAsuntos!G10)*11)/factor_trimestre," - ")</f>
        <v>13.6</v>
      </c>
      <c r="AN10" s="244">
        <f>IF(ISNUMBER('Resol  Asuntos'!D10/NºAsuntos!G10),'Resol  Asuntos'!D10/NºAsuntos!G10," - ")</f>
        <v>0.3</v>
      </c>
      <c r="AO10" s="245">
        <f>IF(ISNUMBER((NºAsuntos!C10+NºAsuntos!E10)/NºAsuntos!G10),(NºAsuntos!C10+NºAsuntos!E10)/NºAsuntos!G10," - ")</f>
        <v>7.8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78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15</v>
      </c>
      <c r="Y12" s="334">
        <f t="shared" si="0"/>
        <v>15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2005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90</v>
      </c>
      <c r="AJ12" s="229" t="str">
        <f>IF(ISNUMBER(Datos!BW12),Datos!BW12," - ")</f>
        <v xml:space="preserve"> - </v>
      </c>
      <c r="AK12" s="228" t="str">
        <f>IF(ISNUMBER(Datos!BX12),Datos!BX12," - ")</f>
        <v xml:space="preserve"> - </v>
      </c>
      <c r="AL12" s="243">
        <f>IF(ISNUMBER(NºAsuntos!G12/NºAsuntos!E12),NºAsuntos!G12/NºAsuntos!E12," - ")</f>
        <v>0.69865319865319864</v>
      </c>
      <c r="AM12" s="260">
        <f>IF(ISNUMBER(((NºAsuntos!I12/NºAsuntos!G12)*11)/factor_trimestre),((NºAsuntos!I12/NºAsuntos!G12)*11)/factor_trimestre," - ")</f>
        <v>12.428915662650603</v>
      </c>
      <c r="AN12" s="244">
        <f>IF(ISNUMBER('Resol  Asuntos'!D12/NºAsuntos!G12),'Resol  Asuntos'!D12/NºAsuntos!G12," - ")</f>
        <v>0.21686746987951808</v>
      </c>
      <c r="AO12" s="245">
        <f>IF(ISNUMBER((NºAsuntos!C12+NºAsuntos!E12)/NºAsuntos!G12),(NºAsuntos!C12+NºAsuntos!E12)/NºAsuntos!G12," - ")</f>
        <v>7.2144578313253014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59</v>
      </c>
      <c r="G13" s="866">
        <f t="shared" si="3"/>
        <v>59</v>
      </c>
      <c r="H13" s="865">
        <f t="shared" si="3"/>
        <v>0</v>
      </c>
      <c r="I13" s="867">
        <f t="shared" si="3"/>
        <v>0</v>
      </c>
      <c r="J13" s="867">
        <f t="shared" si="3"/>
        <v>0</v>
      </c>
      <c r="K13" s="867">
        <f t="shared" si="3"/>
        <v>0</v>
      </c>
      <c r="L13" s="867">
        <f t="shared" si="3"/>
        <v>93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10</v>
      </c>
      <c r="X13" s="867">
        <f t="shared" si="4"/>
        <v>17</v>
      </c>
      <c r="Y13" s="868">
        <f t="shared" si="4"/>
        <v>27</v>
      </c>
      <c r="Z13" s="868">
        <f t="shared" si="4"/>
        <v>0</v>
      </c>
      <c r="AA13" s="868">
        <f t="shared" si="4"/>
        <v>68</v>
      </c>
      <c r="AB13" s="868">
        <f t="shared" si="4"/>
        <v>2052</v>
      </c>
      <c r="AC13" s="868">
        <f t="shared" si="4"/>
        <v>115</v>
      </c>
      <c r="AD13" s="868">
        <f t="shared" si="4"/>
        <v>0</v>
      </c>
      <c r="AE13" s="872">
        <f t="shared" si="4"/>
        <v>0</v>
      </c>
      <c r="AF13" s="865">
        <f t="shared" si="4"/>
        <v>0</v>
      </c>
      <c r="AG13" s="873">
        <f t="shared" si="4"/>
        <v>0</v>
      </c>
      <c r="AH13" s="870">
        <f t="shared" si="4"/>
        <v>0</v>
      </c>
      <c r="AI13" s="865">
        <f t="shared" si="4"/>
        <v>93</v>
      </c>
      <c r="AJ13" s="867">
        <f t="shared" si="4"/>
        <v>0</v>
      </c>
      <c r="AK13" s="870">
        <f>SUBTOTAL(9,AK9:AK12)</f>
        <v>0</v>
      </c>
      <c r="AL13" s="874">
        <f>IF(ISNUMBER(NºAsuntos!G13/NºAsuntos!E13),NºAsuntos!G13/NºAsuntos!E13," - ")</f>
        <v>0.69331158238172919</v>
      </c>
      <c r="AM13" s="874">
        <f>IF(ISNUMBER(((NºAsuntos!I13/NºAsuntos!G13)*11)/factor_trimestre),((NºAsuntos!I13/NºAsuntos!G13)*11)/factor_trimestre," - ")</f>
        <v>12.456470588235295</v>
      </c>
      <c r="AN13" s="875">
        <f>IF(ISNUMBER('Resol  Asuntos'!D13/NºAsuntos!G13),'Resol  Asuntos'!D13/NºAsuntos!G13," - ")</f>
        <v>0.21882352941176469</v>
      </c>
      <c r="AO13" s="876">
        <f>IF(ISNUMBER((NºAsuntos!C13+NºAsuntos!E13)/NºAsuntos!G13),(NºAsuntos!C13+NºAsuntos!E13)/NºAsuntos!G13," - ")</f>
        <v>7.2282352941176473</v>
      </c>
      <c r="AP13" s="877" t="str">
        <f t="shared" si="2"/>
        <v xml:space="preserve"> - </v>
      </c>
      <c r="AQ13" s="877">
        <f>IF(ISNUMBER((H13-W13+K13)/(F13)),(H13-W13+K13)/(F13)," - ")</f>
        <v>-0.16949152542372881</v>
      </c>
      <c r="AR13" s="878">
        <f>IF(ISNUMBER((Datos!P13-Datos!Q13)/(Datos!R13-Datos!P13+Datos!Q13)),(Datos!P13-Datos!Q13)/(Datos!R13-Datos!P13+Datos!Q13)," - ")</f>
        <v>3.8461538461538464E-2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1809</v>
      </c>
      <c r="G16" s="333">
        <f>IF(ISNUMBER(IF(D_I="SI",Datos!I16,Datos!I16+Datos!AC16)),IF(D_I="SI",Datos!I16,Datos!I16+Datos!AC16)," - ")</f>
        <v>1808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469</v>
      </c>
      <c r="X16" s="226">
        <f>IF(ISNUMBER(Datos!Q16),Datos!Q16," - ")</f>
        <v>2</v>
      </c>
      <c r="Y16" s="334">
        <f t="shared" ref="Y16:Y17" si="7">SUM(W16:X16)</f>
        <v>471</v>
      </c>
      <c r="Z16" s="335" t="str">
        <f>IF(ISNUMBER(Datos!CC16),Datos!CC16," - ")</f>
        <v xml:space="preserve"> - </v>
      </c>
      <c r="AA16" s="332">
        <f>IF(ISNUMBER(IF(D_I="SI",Datos!L16,Datos!L16+Datos!AF16)),IF(D_I="SI",Datos!L16,Datos!L16+Datos!AF16)," - ")</f>
        <v>1850</v>
      </c>
      <c r="AB16" s="334">
        <f>IF(ISNUMBER(Datos!R16),Datos!R16," - ")</f>
        <v>148</v>
      </c>
      <c r="AC16" s="334">
        <f t="shared" si="6"/>
        <v>1998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53</v>
      </c>
      <c r="AJ16" s="231" t="str">
        <f>IF(ISNUMBER(Datos!BW16),Datos!BW16," - ")</f>
        <v xml:space="preserve"> - </v>
      </c>
      <c r="AK16" s="232" t="str">
        <f>IF(ISNUMBER(Datos!BX16),Datos!BX16," - ")</f>
        <v xml:space="preserve"> - </v>
      </c>
      <c r="AL16" s="243">
        <f>IF(ISNUMBER(NºAsuntos!G16/NºAsuntos!E16),NºAsuntos!G16/NºAsuntos!E16," - ")</f>
        <v>0.91960784313725485</v>
      </c>
      <c r="AM16" s="260">
        <f>IF(ISNUMBER(((NºAsuntos!I16/NºAsuntos!G16)*11)/factor_trimestre),((NºAsuntos!I16/NºAsuntos!G16)*11)/factor_trimestre," - ")</f>
        <v>7.889125799573562</v>
      </c>
      <c r="AN16" s="244">
        <f>IF(ISNUMBER('Resol  Asuntos'!D16/NºAsuntos!G16),'Resol  Asuntos'!D16/NºAsuntos!G16," - ")</f>
        <v>0.11300639658848614</v>
      </c>
      <c r="AO16" s="245">
        <f>IF(ISNUMBER((NºAsuntos!C16+NºAsuntos!E16)/NºAsuntos!G16),(NºAsuntos!C16+NºAsuntos!E16)/NºAsuntos!G16," - ")</f>
        <v>4.9424307036247335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90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40</v>
      </c>
      <c r="X17" s="226">
        <f>IF(ISNUMBER(Datos!Q17),Datos!Q17," - ")</f>
        <v>1</v>
      </c>
      <c r="Y17" s="334">
        <f t="shared" si="7"/>
        <v>41</v>
      </c>
      <c r="Z17" s="335" t="str">
        <f>IF(ISNUMBER(Datos!CC17),Datos!CC17," - ")</f>
        <v xml:space="preserve"> - </v>
      </c>
      <c r="AA17" s="332">
        <f>IF(ISNUMBER(Datos!L17),Datos!L17,"-")</f>
        <v>105</v>
      </c>
      <c r="AB17" s="334">
        <f>IF(ISNUMBER(Datos!R17),Datos!R17," - ")</f>
        <v>0</v>
      </c>
      <c r="AC17" s="334">
        <f t="shared" si="6"/>
        <v>105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0.72727272727272729</v>
      </c>
      <c r="AM17" s="260">
        <f>IF(ISNUMBER(((NºAsuntos!I17/NºAsuntos!G17)*11)/factor_trimestre),((NºAsuntos!I17/NºAsuntos!G17)*11)/factor_trimestre," - ")</f>
        <v>5.25</v>
      </c>
      <c r="AN17" s="244">
        <f>IF(ISNUMBER('Resol  Asuntos'!D17/NºAsuntos!G17),'Resol  Asuntos'!D17/NºAsuntos!G17," - ")</f>
        <v>2.5000000000000001E-2</v>
      </c>
      <c r="AO17" s="245">
        <f>IF(ISNUMBER((NºAsuntos!C17+NºAsuntos!E17)/NºAsuntos!G17),(NºAsuntos!C17+NºAsuntos!E17)/NºAsuntos!G17," - ")</f>
        <v>3.625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1809</v>
      </c>
      <c r="G18" s="866">
        <f>SUBTOTAL(9,G15:G17)</f>
        <v>1898</v>
      </c>
      <c r="H18" s="865">
        <f t="shared" ref="H18:O18" si="10">SUBTOTAL(9,H14:H17)</f>
        <v>0</v>
      </c>
      <c r="I18" s="867">
        <f t="shared" si="10"/>
        <v>0</v>
      </c>
      <c r="J18" s="867">
        <f t="shared" si="10"/>
        <v>0</v>
      </c>
      <c r="K18" s="867">
        <f t="shared" si="10"/>
        <v>0</v>
      </c>
      <c r="L18" s="867">
        <f t="shared" si="10"/>
        <v>11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509</v>
      </c>
      <c r="X18" s="867">
        <f t="shared" si="11"/>
        <v>3</v>
      </c>
      <c r="Y18" s="868">
        <f t="shared" si="11"/>
        <v>512</v>
      </c>
      <c r="Z18" s="868">
        <f t="shared" si="11"/>
        <v>0</v>
      </c>
      <c r="AA18" s="868">
        <f t="shared" si="11"/>
        <v>1955</v>
      </c>
      <c r="AB18" s="868">
        <f t="shared" si="11"/>
        <v>148</v>
      </c>
      <c r="AC18" s="868">
        <f t="shared" si="11"/>
        <v>2103</v>
      </c>
      <c r="AD18" s="868">
        <f t="shared" si="11"/>
        <v>0</v>
      </c>
      <c r="AE18" s="872">
        <f t="shared" si="11"/>
        <v>0</v>
      </c>
      <c r="AF18" s="865">
        <f t="shared" si="11"/>
        <v>0</v>
      </c>
      <c r="AG18" s="873">
        <f t="shared" si="11"/>
        <v>0</v>
      </c>
      <c r="AH18" s="870">
        <f t="shared" si="11"/>
        <v>0</v>
      </c>
      <c r="AI18" s="865">
        <f t="shared" si="11"/>
        <v>54</v>
      </c>
      <c r="AJ18" s="867">
        <f t="shared" si="11"/>
        <v>0</v>
      </c>
      <c r="AK18" s="870">
        <f t="shared" si="11"/>
        <v>0</v>
      </c>
      <c r="AL18" s="874">
        <f>IF(ISNUMBER(NºAsuntos!G18/NºAsuntos!E18),NºAsuntos!G18/NºAsuntos!E18," - ")</f>
        <v>0.90088495575221239</v>
      </c>
      <c r="AM18" s="874">
        <f>IF(ISNUMBER(((NºAsuntos!I18/NºAsuntos!G18)*11)/factor_trimestre),((NºAsuntos!I18/NºAsuntos!G18)*11)/factor_trimestre," - ")</f>
        <v>7.6817288801571699</v>
      </c>
      <c r="AN18" s="875">
        <f>IF(ISNUMBER('Resol  Asuntos'!D18/NºAsuntos!G18),'Resol  Asuntos'!D18/NºAsuntos!G18," - ")</f>
        <v>0.10609037328094302</v>
      </c>
      <c r="AO18" s="876">
        <f>IF(ISNUMBER((NºAsuntos!C18+NºAsuntos!E18)/NºAsuntos!G18),(NºAsuntos!C18+NºAsuntos!E18)/NºAsuntos!G18," - ")</f>
        <v>4.8388998035363455</v>
      </c>
      <c r="AP18" s="877" t="str">
        <f t="shared" si="2"/>
        <v xml:space="preserve"> - </v>
      </c>
      <c r="AQ18" s="877">
        <f>IF(ISNUMBER((H18-W18+K18)/(F18)),(H18-W18+K18)/(F18)," - ")</f>
        <v>-0.28137092316196793</v>
      </c>
      <c r="AR18" s="878">
        <f>IF(ISNUMBER((Datos!P18-Datos!Q18)/(Datos!R18-Datos!P18+Datos!Q18)),(Datos!P18-Datos!Q18)/(Datos!R18-Datos!P18+Datos!Q18)," - ")</f>
        <v>5.7142857142857141E-2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1868</v>
      </c>
      <c r="G19" s="821">
        <f t="shared" si="13"/>
        <v>1957</v>
      </c>
      <c r="H19" s="820">
        <f t="shared" si="13"/>
        <v>0</v>
      </c>
      <c r="I19" s="822">
        <f t="shared" si="13"/>
        <v>0</v>
      </c>
      <c r="J19" s="822">
        <f t="shared" si="13"/>
        <v>0</v>
      </c>
      <c r="K19" s="881">
        <f t="shared" si="13"/>
        <v>0</v>
      </c>
      <c r="L19" s="822">
        <f t="shared" si="13"/>
        <v>104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519</v>
      </c>
      <c r="X19" s="821">
        <f t="shared" si="14"/>
        <v>20</v>
      </c>
      <c r="Y19" s="828">
        <f t="shared" si="14"/>
        <v>539</v>
      </c>
      <c r="Z19" s="828">
        <f t="shared" si="14"/>
        <v>0</v>
      </c>
      <c r="AA19" s="828">
        <f t="shared" si="14"/>
        <v>2023</v>
      </c>
      <c r="AB19" s="828">
        <f t="shared" si="14"/>
        <v>2200</v>
      </c>
      <c r="AC19" s="828">
        <f t="shared" si="14"/>
        <v>2218</v>
      </c>
      <c r="AD19" s="828">
        <f t="shared" si="14"/>
        <v>0</v>
      </c>
      <c r="AE19" s="830">
        <f t="shared" si="14"/>
        <v>0</v>
      </c>
      <c r="AF19" s="831">
        <f t="shared" si="14"/>
        <v>0</v>
      </c>
      <c r="AG19" s="832">
        <f t="shared" si="14"/>
        <v>0</v>
      </c>
      <c r="AH19" s="830">
        <f t="shared" si="14"/>
        <v>0</v>
      </c>
      <c r="AI19" s="820">
        <f t="shared" si="14"/>
        <v>147</v>
      </c>
      <c r="AJ19" s="820">
        <f t="shared" si="14"/>
        <v>0</v>
      </c>
      <c r="AK19" s="830">
        <f t="shared" si="14"/>
        <v>0</v>
      </c>
      <c r="AL19" s="884">
        <f>IF(ISNUMBER(NºAsuntos!G19/NºAsuntos!E19),NºAsuntos!G19/NºAsuntos!E19," - ")</f>
        <v>0.79286926994906626</v>
      </c>
      <c r="AM19" s="885">
        <f>IF(ISNUMBER(((NºAsuntos!I19/NºAsuntos!G19)*11)/factor_trimestre),((NºAsuntos!I19/NºAsuntos!G19)*11)/factor_trimestre," - ")</f>
        <v>9.8543897216274097</v>
      </c>
      <c r="AN19" s="885">
        <f>IF(ISNUMBER('Resol  Asuntos'!D19/NºAsuntos!G19),'Resol  Asuntos'!D19/NºAsuntos!G19," - ")</f>
        <v>0.15738758029978586</v>
      </c>
      <c r="AO19" s="886">
        <f>IF(ISNUMBER((NºAsuntos!C19+NºAsuntos!E19)/NºAsuntos!G19),(NºAsuntos!C19+NºAsuntos!E19)/NºAsuntos!G19," - ")</f>
        <v>5.9261241970021414</v>
      </c>
      <c r="AP19" s="887" t="str">
        <f t="shared" si="2"/>
        <v xml:space="preserve"> - </v>
      </c>
      <c r="AQ19" s="888">
        <f>IF(OR(ISNUMBER(FIND("01",Criterios!A8,1)),ISNUMBER(FIND("02",Criterios!A8,1)),ISNUMBER(FIND("03",Criterios!A8,1)),ISNUMBER(FIND("04",Criterios!A8,1))),(I19-W19+K19)/(F19-K19),(H19-W19+K19)/(F19-K19))</f>
        <v>-0.27783725910064239</v>
      </c>
      <c r="AR19" s="889">
        <f>IF(ISNUMBER((Datos!P19-Datos!Q19)/(Datos!R19-Datos!P19+Datos!Q19)),(Datos!P19-Datos!Q19)/(Datos!R19-Datos!P19+Datos!Q19)," - ")</f>
        <v>3.9697542533081283E-2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782.8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1010.3629710818451</v>
      </c>
      <c r="G21" s="253">
        <f>IF(ISNUMBER(STDEV(G8:G18)),STDEV(G8:G18),"-")</f>
        <v>977.55444861143155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257.5622254912393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40.194526990623984</v>
      </c>
      <c r="AJ21" s="252">
        <f t="shared" si="18"/>
        <v>0</v>
      </c>
      <c r="AK21" s="254">
        <f t="shared" si="18"/>
        <v>0</v>
      </c>
      <c r="AL21" s="249">
        <f t="shared" si="18"/>
        <v>0.14679384959810166</v>
      </c>
      <c r="AM21" s="250">
        <f t="shared" si="18"/>
        <v>3.382494138389577</v>
      </c>
      <c r="AN21" s="250">
        <f t="shared" si="18"/>
        <v>9.9567569073617954E-2</v>
      </c>
      <c r="AO21" s="251">
        <f t="shared" si="18"/>
        <v>1.6917547404732634</v>
      </c>
      <c r="AP21" s="291" t="str">
        <f t="shared" si="18"/>
        <v>-</v>
      </c>
      <c r="AQ21" s="292">
        <f t="shared" si="18"/>
        <v>7.9110680815775769E-2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nov. 2024</v>
      </c>
      <c r="D30" s="120"/>
    </row>
    <row r="32" spans="1:65">
      <c r="C32" s="1"/>
      <c r="D32" s="1"/>
    </row>
  </sheetData>
  <sheetProtection algorithmName="SHA-512" hashValue="g+krWRxAz744iOE+CW3y+sIwGq2E/UO84jaKxygBaZAJQ5HtLDQcsxy4BXsTnsobtkL+CpYvEF+uy07CRCb4rA==" saltValue="WKZS3o8+383823ZQvIvBA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CUENCA</v>
      </c>
      <c r="E3" s="263"/>
    </row>
    <row r="4" spans="2:20" ht="17.25" customHeight="1" thickBot="1">
      <c r="D4" s="262" t="str">
        <f>Criterios!A11 &amp;"  "&amp;Criterios!B11</f>
        <v>Resumenes por Partidos Judiciales  TARANCON</v>
      </c>
      <c r="E4" s="263"/>
    </row>
    <row r="5" spans="2:20" ht="12.75" customHeight="1">
      <c r="B5" s="272"/>
      <c r="C5" s="1266" t="str">
        <f>"Año:  " &amp;Criterios!B5 &amp; "          Trimestre   " &amp;Criterios!D5 &amp; " al " &amp;Criterios!D6</f>
        <v>Año:  2024          Trimestre   3 al 3</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0.20408163265306123</v>
      </c>
      <c r="E10" s="348">
        <f>IF(ISNUMBER((Datos!J10-Datos!T10)/Datos!T10),(Datos!J10-Datos!T10)/Datos!T10," - ")</f>
        <v>0.11764705882352941</v>
      </c>
      <c r="F10" s="348">
        <f>IF(ISNUMBER((Datos!K10-Datos!U10)/Datos!U10),(Datos!K10-Datos!U10)/Datos!U10," - ")</f>
        <v>0.42857142857142855</v>
      </c>
      <c r="G10" s="349">
        <f>IF(ISNUMBER((Datos!L10-Datos!V10)/Datos!V10),(Datos!L10-Datos!V10)/Datos!V10," - ")</f>
        <v>0.15254237288135594</v>
      </c>
      <c r="H10" s="230">
        <f>IF(ISNUMBER((Datos!M10-Datos!W10)/Datos!W10),(Datos!M10-Datos!W10)/Datos!W10," - ")</f>
        <v>-0.25</v>
      </c>
      <c r="I10" s="350">
        <f>IF(ISNUMBER((Tasas!C10-Datos!BE10)/Datos!BE10),(Tasas!C10-Datos!BE10)/Datos!BE10," - ")</f>
        <v>-0.19322033898305088</v>
      </c>
      <c r="J10" s="349">
        <f>IF(ISNUMBER((Tasas!D10-Datos!BF10)/Datos!BF10),(Tasas!D10-Datos!BF10)/Datos!BF10," - ")</f>
        <v>-0.47499999999999998</v>
      </c>
      <c r="K10" s="351">
        <f>IF(ISNUMBER((Tasas!E10-Datos!BG10)/Datos!BG10),(Tasas!E10-Datos!BG10)/Datos!BG10," - ")</f>
        <v>-0.17272727272727276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0.18421052631578946</v>
      </c>
      <c r="I12" s="350">
        <f>IF(ISNUMBER((Tasas!C12-Datos!BE12)/Datos!BE12),(Tasas!C12-Datos!BE12)/Datos!BE12," - ")</f>
        <v>1.7936502456818711E-2</v>
      </c>
      <c r="J12" s="349">
        <f>IF(ISNUMBER((Tasas!D12-Datos!BF12)/Datos!BF12),(Tasas!D12-Datos!BF12)/Datos!BF12," - ")</f>
        <v>-0.40491566265060236</v>
      </c>
      <c r="K12" s="351">
        <f>IF(ISNUMBER((Tasas!E12-Datos!BG12)/Datos!BG12),(Tasas!E12-Datos!BG12)/Datos!BG12," - ")</f>
        <v>1.5411996776601714E-2</v>
      </c>
      <c r="M12" t="e">
        <f>IF(Monitorios="SI",Datos!CE12,0)</f>
        <v>#REF!</v>
      </c>
      <c r="N12" t="e">
        <f>IF(Monitorios="SI",Datos!CF12,0)</f>
        <v>#REF!</v>
      </c>
      <c r="O12" t="e">
        <f>IF(Monitorios="SI",Datos!CG12,0)</f>
        <v>#REF!</v>
      </c>
      <c r="P12" t="e">
        <f>IF(Monitorios="SI",Datos!CH12,0)</f>
        <v>#REF!</v>
      </c>
      <c r="Q12">
        <f>IF(J_V="SI",0,Datos!AG12)</f>
        <v>74</v>
      </c>
      <c r="R12">
        <f>IF(J_V="SI",0,Datos!AH12)</f>
        <v>23</v>
      </c>
      <c r="S12">
        <f>IF(J_V="SI",0,Datos!AI12)</f>
        <v>23</v>
      </c>
      <c r="T12">
        <f>IF(J_V="SI",0,Datos!AJ12)</f>
        <v>74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0.16250000000000001</v>
      </c>
      <c r="I13" s="357">
        <f>IF(ISNUMBER((Tasas!C13-Datos!BE13)/Datos!BE13),(Tasas!C13-Datos!BE13)/Datos!BE13," - ")</f>
        <v>1.2485997650337494E-2</v>
      </c>
      <c r="J13" s="355">
        <f>IF(ISNUMBER((Tasas!D13-Datos!BF13)/Datos!BF13),(Tasas!D13-Datos!BF13)/Datos!BF13," - ")</f>
        <v>-0.40629274965800272</v>
      </c>
      <c r="K13" s="358">
        <f>IF(ISNUMBER((Tasas!E13-Datos!BG13)/Datos!BG13),(Tasas!E13-Datos!BG13)/Datos!BG13," - ")</f>
        <v>1.0740053112735367E-2</v>
      </c>
      <c r="M13" t="e">
        <f>IF(Monitorios="SI",Datos!CE13,0)</f>
        <v>#REF!</v>
      </c>
      <c r="N13" t="e">
        <f>IF(Monitorios="SI",Datos!CF13,0)</f>
        <v>#REF!</v>
      </c>
      <c r="O13" t="e">
        <f>IF(Monitorios="SI",Datos!CG13,0)</f>
        <v>#REF!</v>
      </c>
      <c r="P13" t="e">
        <f>IF(Monitorios="SI",Datos!CH13,0)</f>
        <v>#REF!</v>
      </c>
      <c r="Q13">
        <f>IF(J_V="SI",0,Datos!AG13)</f>
        <v>74</v>
      </c>
      <c r="R13">
        <f>IF(J_V="SI",0,Datos!AH13)</f>
        <v>23</v>
      </c>
      <c r="S13">
        <f>IF(J_V="SI",0,Datos!AI13)</f>
        <v>23</v>
      </c>
      <c r="T13">
        <f>IF(J_V="SI",0,Datos!AJ13)</f>
        <v>74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0.16419832582099164</v>
      </c>
      <c r="E16" s="348">
        <f>IF(ISNUMBER(
   IF(D_I="SI",(Datos!J16-Datos!T16)/Datos!T16,(Datos!J16+Datos!AD16-(Datos!T16+Datos!AL16))/(Datos!T16+Datos!AL16))
     ),IF(D_I="SI",(Datos!J16-Datos!T16)/Datos!T16,(Datos!J16+Datos!AD16-(Datos!T16+Datos!AL16))/(Datos!T16+Datos!AL16))," - ")</f>
        <v>0.13082039911308205</v>
      </c>
      <c r="F16" s="348">
        <f>IF(ISNUMBER(
   IF(D_I="SI",(Datos!K16-Datos!U16)/Datos!U16,(Datos!K16+Datos!AE16-(Datos!U16+Datos!AM16))/(Datos!U16+Datos!AM16))
     ),IF(D_I="SI",(Datos!K16-Datos!U16)/Datos!U16,(Datos!K16+Datos!AE16-(Datos!U16+Datos!AM16))/(Datos!U16+Datos!AM16))," - ")</f>
        <v>0.24403183023872679</v>
      </c>
      <c r="G16" s="349">
        <f>IF(ISNUMBER(
   IF(D_I="SI",(Datos!L16-Datos!V16)/Datos!V16,(Datos!L16+Datos!AF16-(Datos!V16+Datos!AN16))/(Datos!V16+Datos!AN16))
     ),IF(D_I="SI",(Datos!L16-Datos!V16)/Datos!V16,(Datos!L16+Datos!AF16-(Datos!V16+Datos!AN16))/(Datos!V16+Datos!AN16))," - ")</f>
        <v>0.13706207744314688</v>
      </c>
      <c r="H16" s="230">
        <f>IF(ISNUMBER((Datos!M16-Datos!W16)/Datos!W16),(Datos!M16-Datos!W16)/Datos!W16," - ")</f>
        <v>0.70967741935483875</v>
      </c>
      <c r="I16" s="350">
        <f>IF(ISNUMBER((Tasas!C16-Datos!BE16)/Datos!BE16),(Tasas!C16-Datos!BE16)/Datos!BE16," - ")</f>
        <v>-8.5986347129922355E-2</v>
      </c>
      <c r="J16" s="349">
        <f>IF(ISNUMBER((Tasas!D16-Datos!BF16)/Datos!BF16),(Tasas!D16-Datos!BF16)/Datos!BF16," - ")</f>
        <v>0.37430359722126694</v>
      </c>
      <c r="K16" s="351">
        <f>IF(ISNUMBER((Tasas!E16-Datos!BG16)/Datos!BG16),(Tasas!E16-Datos!BG16)/Datos!BG16," - ")</f>
        <v>-7.0211389587562581E-2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0.15384615384615385</v>
      </c>
      <c r="E17" s="348">
        <f>IF(ISNUMBER(
   IF(D_I="SI",(Datos!J17-Datos!T17)/Datos!T17,(Datos!J17+Datos!AD17-(Datos!T17+Datos!AL17))/(Datos!T17+Datos!AL17))
     ),IF(D_I="SI",(Datos!J17-Datos!T17)/Datos!T17,(Datos!J17+Datos!AD17-(Datos!T17+Datos!AL17))/(Datos!T17+Datos!AL17))," - ")</f>
        <v>0.41025641025641024</v>
      </c>
      <c r="F17" s="348">
        <f>IF(ISNUMBER(
   IF(D_I="SI",(Datos!K17-Datos!U17)/Datos!U17,(Datos!K17+Datos!AE17-(Datos!U17+Datos!AM17))/(Datos!U17+Datos!AM17))
     ),IF(D_I="SI",(Datos!K17-Datos!U17)/Datos!U17,(Datos!K17+Datos!AE17-(Datos!U17+Datos!AM17))/(Datos!U17+Datos!AM17))," - ")</f>
        <v>0.14285714285714285</v>
      </c>
      <c r="G17" s="349">
        <f>IF(ISNUMBER(
   IF(D_I="SI",(Datos!L17-Datos!V17)/Datos!V17,(Datos!L17+Datos!AF17-(Datos!V17+Datos!AN17))/(Datos!V17+Datos!AN17))
     ),IF(D_I="SI",(Datos!L17-Datos!V17)/Datos!V17,(Datos!L17+Datos!AF17-(Datos!V17+Datos!AN17))/(Datos!V17+Datos!AN17))," - ")</f>
        <v>0.28048780487804881</v>
      </c>
      <c r="H17" s="230">
        <f>IF(ISNUMBER((Datos!M17-Datos!W17)/Datos!W17),(Datos!M17-Datos!W17)/Datos!W17," - ")</f>
        <v>0</v>
      </c>
      <c r="I17" s="350">
        <f>IF(ISNUMBER((Tasas!C17-Datos!BE17)/Datos!BE17),(Tasas!C17-Datos!BE17)/Datos!BE17," - ")</f>
        <v>0.12042682926829262</v>
      </c>
      <c r="J17" s="349">
        <f>IF(ISNUMBER((Tasas!D17-Datos!BF17)/Datos!BF17),(Tasas!D17-Datos!BF17)/Datos!BF17," - ")</f>
        <v>-0.12499999999999993</v>
      </c>
      <c r="K17" s="351">
        <f>IF(ISNUMBER((Tasas!E17-Datos!BG17)/Datos!BG17),(Tasas!E17-Datos!BG17)/Datos!BG17," - ")</f>
        <v>8.4401709401709366E-2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0.16370324954015941</v>
      </c>
      <c r="E18" s="354">
        <f>IF(ISNUMBER(
   IF(D_I="SI",(Datos!J18-Datos!T18)/Datos!T18,(Datos!J18+Datos!AD18-(Datos!T18+Datos!AL18))/(Datos!T18+Datos!AL18))
     ),IF(D_I="SI",(Datos!J18-Datos!T18)/Datos!T18,(Datos!J18+Datos!AD18-(Datos!T18+Datos!AL18))/(Datos!T18+Datos!AL18))," - ")</f>
        <v>0.15306122448979592</v>
      </c>
      <c r="F18" s="354">
        <f>IF(ISNUMBER(
   IF(D_I="SI",(Datos!K18-Datos!U18)/Datos!U18,(Datos!K18+Datos!AE18-(Datos!U18+Datos!AM18))/(Datos!U18+Datos!AM18))
     ),IF(D_I="SI",(Datos!K18-Datos!U18)/Datos!U18,(Datos!K18+Datos!AE18-(Datos!U18+Datos!AM18))/(Datos!U18+Datos!AM18))," - ")</f>
        <v>0.2354368932038835</v>
      </c>
      <c r="G18" s="355">
        <f>IF(ISNUMBER(
   IF(D_I="SI",(Datos!L18-Datos!V18)/Datos!V18,(Datos!L18+Datos!AF18-(Datos!V18+Datos!AN18))/(Datos!V18+Datos!AN18))
     ),IF(D_I="SI",(Datos!L18-Datos!V18)/Datos!V18,(Datos!L18+Datos!AF18-(Datos!V18+Datos!AN18))/(Datos!V18+Datos!AN18))," - ")</f>
        <v>0.14394382679929785</v>
      </c>
      <c r="H18" s="356">
        <f>IF(ISNUMBER((Datos!M18-Datos!W18)/Datos!W18),(Datos!M18-Datos!W18)/Datos!W18," - ")</f>
        <v>0.6875</v>
      </c>
      <c r="I18" s="357">
        <f>IF(ISNUMBER((Tasas!C18-Datos!BE18)/Datos!BE18),(Tasas!C18-Datos!BE18)/Datos!BE18," - ")</f>
        <v>-7.4057256107444652E-2</v>
      </c>
      <c r="J18" s="355">
        <f>IF(ISNUMBER((Tasas!D18-Datos!BF18)/Datos!BF18),(Tasas!D18-Datos!BF18)/Datos!BF18," - ")</f>
        <v>0.36591355599214148</v>
      </c>
      <c r="K18" s="358">
        <f>IF(ISNUMBER((Tasas!E18-Datos!BG18)/Datos!BG18),(Tasas!E18-Datos!BG18)/Datos!BG18," - ")</f>
        <v>-6.0053409214062117E-2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0.16372863247863248</v>
      </c>
      <c r="E19" s="363">
        <f>IF(ISNUMBER(
   IF(J_V="SI",(Datos!J19-Datos!T19)/Datos!T19,(Datos!J19+Datos!Z19-(Datos!T19+Datos!AH19))/(Datos!T19+Datos!AH19))
     ),IF(J_V="SI",(Datos!J19-Datos!T19)/Datos!T19,(Datos!J19+Datos!Z19-(Datos!T19+Datos!AH19))/(Datos!T19+Datos!AH19))," - ")</f>
        <v>0.33863636363636362</v>
      </c>
      <c r="F19" s="363">
        <f>IF(ISNUMBER(
   IF(J_V="SI",(Datos!K19-Datos!U19)/Datos!U19,(Datos!K19+Datos!AA19-(Datos!U19+Datos!AI19))/(Datos!U19+Datos!AI19))
     ),IF(J_V="SI",(Datos!K19-Datos!U19)/Datos!U19,(Datos!K19+Datos!AA19-(Datos!U19+Datos!AI19))/(Datos!U19+Datos!AI19))," - ")</f>
        <v>0.22572178477690288</v>
      </c>
      <c r="G19" s="364">
        <f>IF(ISNUMBER(
   IF(J_V="SI",(Datos!L19-Datos!V19)/Datos!V19,(Datos!L19+Datos!AB19-(Datos!V19+Datos!AJ19))/(Datos!V19+Datos!AJ19))
     ),IF(J_V="SI",(Datos!L19-Datos!V19)/Datos!V19,(Datos!L19+Datos!AB19-(Datos!V19+Datos!AJ19))/(Datos!V19+Datos!AJ19))," - ")</f>
        <v>0.19161056447436561</v>
      </c>
      <c r="H19" s="365">
        <f>IF(ISNUMBER((Datos!M19-Datos!W19)/Datos!W19),(Datos!M19-Datos!W19)/Datos!W19," - ")</f>
        <v>0.3125</v>
      </c>
      <c r="I19" s="362">
        <f>IF(ISNUMBER((Tasas!C19-Datos!BE19)/Datos!BE19),(Tasas!C19-Datos!BE19)/Datos!BE19," - ")</f>
        <v>-2.7829496649393218E-2</v>
      </c>
      <c r="J19" s="363">
        <f>IF(ISNUMBER((Tasas!D19-Datos!BF19)/Datos!BF19),(Tasas!D19-Datos!BF19)/Datos!BF19," - ")</f>
        <v>-0.25509729075505078</v>
      </c>
      <c r="K19" s="364">
        <f>IF(ISNUMBER((Tasas!E19-Datos!BG19)/Datos!BG19),(Tasas!E19-Datos!BG19)/Datos!BG19," - ")</f>
        <v>-2.3419844698176453E-2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2.2265949748202587E-2</v>
      </c>
      <c r="E21" s="278">
        <f t="shared" si="1"/>
        <v>0.13897734671186768</v>
      </c>
      <c r="F21" s="278">
        <f t="shared" si="1"/>
        <v>0.1196765312726058</v>
      </c>
      <c r="G21" s="279">
        <f t="shared" si="1"/>
        <v>6.8280160505817242E-2</v>
      </c>
      <c r="H21" s="285">
        <f t="shared" si="1"/>
        <v>0.38136278227195047</v>
      </c>
      <c r="I21" s="277">
        <f t="shared" si="1"/>
        <v>0.10804059917897717</v>
      </c>
      <c r="J21" s="278">
        <f t="shared" si="1"/>
        <v>0.39223416322540594</v>
      </c>
      <c r="K21" s="279">
        <f t="shared" si="1"/>
        <v>8.9078846941865242E-2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nov.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eqErfAutFTrtzsQ2gN6J2ca3aq+NNDJ/kWcpt2YeO5DJKKcVY68je+xli1cVSOK9YR1j2QWwrYPPScSCr8FL9A==" saltValue="rhO+guuqabg4EM/54ZiwA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2024-11-29T11:15:59Z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